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U:\SharedDocs\Finance and Administration\Finance\Budgets\2021 Budget\FC and BOD\"/>
    </mc:Choice>
  </mc:AlternateContent>
  <xr:revisionPtr revIDLastSave="0" documentId="13_ncr:1_{F61B529F-1AE4-4D6D-9C1E-C43BAF597CD4}" xr6:coauthVersionLast="45" xr6:coauthVersionMax="45" xr10:uidLastSave="{00000000-0000-0000-0000-000000000000}"/>
  <bookViews>
    <workbookView xWindow="-108" yWindow="-108" windowWidth="23256" windowHeight="12576" firstSheet="2" activeTab="3" xr2:uid="{00000000-000D-0000-FFFF-FFFF00000000}"/>
  </bookViews>
  <sheets>
    <sheet name="P&amp;L (accounting)" sheetId="3" state="hidden" r:id="rId1"/>
    <sheet name="P&amp;L detail accounting" sheetId="17" state="hidden" r:id="rId2"/>
    <sheet name="Summary FY21" sheetId="25" r:id="rId3"/>
    <sheet name="P&amp;L FY21-BOD Approved 06.2020" sheetId="23" r:id="rId4"/>
    <sheet name="P&amp;L Budget" sheetId="24" state="hidden" r:id="rId5"/>
    <sheet name=" Cash FY21-BOD Approved 06.2020" sheetId="20" r:id="rId6"/>
    <sheet name="cash budget" sheetId="22" state="hidden" r:id="rId7"/>
    <sheet name="P&amp;L FY20" sheetId="8" state="hidden" r:id="rId8"/>
    <sheet name="Compensation Links" sheetId="15" state="hidden" r:id="rId9"/>
    <sheet name="Occ-Sup-Post-Etc" sheetId="16" state="hidden" r:id="rId10"/>
    <sheet name="Non Capital Program Exp" sheetId="18" state="hidden" r:id="rId11"/>
    <sheet name="FC-Final P&amp;L" sheetId="13" state="hidden" r:id="rId12"/>
    <sheet name="Cash FY20" sheetId="9" state="hidden" r:id="rId13"/>
    <sheet name="FC-Final Cash" sheetId="19" state="hidden" r:id="rId14"/>
    <sheet name="cash detail accounting" sheetId="7" state="hidden" r:id="rId15"/>
  </sheets>
  <externalReferences>
    <externalReference r:id="rId16"/>
    <externalReference r:id="rId17"/>
    <externalReference r:id="rId18"/>
    <externalReference r:id="rId19"/>
    <externalReference r:id="rId20"/>
  </externalReferences>
  <definedNames>
    <definedName name="_xlnm.Print_Area" localSheetId="1">'P&amp;L detail accounting'!$B$80:$AG$154</definedName>
    <definedName name="_xlnm.Print_Area" localSheetId="7">'P&amp;L FY20'!$A$1:$H$36</definedName>
    <definedName name="_xlnm.Print_Area" localSheetId="3">'P&amp;L FY21-BOD Approved 06.2020'!$A$1:$K$34</definedName>
    <definedName name="_xlnm.Print_Area" localSheetId="2">'Summary FY21'!$A$1:$A$51</definedName>
    <definedName name="_xlnm.Print_Titles" localSheetId="5">' Cash FY21-BOD Approved 06.2020'!$1:$6</definedName>
    <definedName name="_xlnm.Print_Titles" localSheetId="1">'P&amp;L detail accounting'!$5:$5</definedName>
    <definedName name="_xlnm.Print_Titles" localSheetId="3">'P&amp;L FY21-BOD Approved 06.2020'!$1:$5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20" l="1"/>
  <c r="Q176" i="7" l="1"/>
  <c r="O175" i="7"/>
  <c r="O174" i="7"/>
  <c r="O167" i="7"/>
  <c r="O159" i="7"/>
  <c r="N159" i="7"/>
  <c r="M159" i="7"/>
  <c r="L159" i="7"/>
  <c r="K159" i="7"/>
  <c r="J159" i="7"/>
  <c r="I159" i="7"/>
  <c r="H159" i="7"/>
  <c r="G159" i="7"/>
  <c r="F159" i="7"/>
  <c r="E159" i="7"/>
  <c r="D159" i="7"/>
  <c r="C159" i="7"/>
  <c r="O157" i="7"/>
  <c r="N157" i="7"/>
  <c r="M157" i="7"/>
  <c r="L157" i="7"/>
  <c r="K157" i="7"/>
  <c r="J157" i="7"/>
  <c r="I157" i="7"/>
  <c r="H157" i="7"/>
  <c r="G157" i="7"/>
  <c r="F157" i="7"/>
  <c r="E157" i="7"/>
  <c r="D157" i="7"/>
  <c r="C157" i="7"/>
  <c r="R155" i="7"/>
  <c r="N155" i="7"/>
  <c r="M155" i="7"/>
  <c r="L155" i="7"/>
  <c r="K155" i="7"/>
  <c r="J155" i="7"/>
  <c r="I155" i="7"/>
  <c r="H155" i="7"/>
  <c r="G155" i="7"/>
  <c r="F155" i="7"/>
  <c r="E155" i="7"/>
  <c r="D155" i="7"/>
  <c r="C155" i="7"/>
  <c r="R154" i="7"/>
  <c r="O154" i="7"/>
  <c r="R153" i="7"/>
  <c r="O153" i="7"/>
  <c r="R152" i="7"/>
  <c r="O152" i="7"/>
  <c r="R151" i="7"/>
  <c r="O151" i="7"/>
  <c r="R150" i="7"/>
  <c r="O150" i="7"/>
  <c r="R149" i="7"/>
  <c r="O149" i="7"/>
  <c r="R148" i="7"/>
  <c r="O148" i="7"/>
  <c r="R147" i="7"/>
  <c r="O147" i="7"/>
  <c r="R146" i="7"/>
  <c r="O146" i="7"/>
  <c r="R145" i="7"/>
  <c r="O145" i="7"/>
  <c r="R144" i="7"/>
  <c r="O144" i="7"/>
  <c r="O143" i="7"/>
  <c r="R142" i="7"/>
  <c r="O142" i="7"/>
  <c r="R141" i="7"/>
  <c r="O141" i="7"/>
  <c r="R140" i="7"/>
  <c r="O140" i="7"/>
  <c r="R139" i="7"/>
  <c r="O139" i="7"/>
  <c r="R138" i="7"/>
  <c r="O138" i="7"/>
  <c r="R137" i="7"/>
  <c r="O137" i="7"/>
  <c r="R136" i="7"/>
  <c r="O136" i="7"/>
  <c r="R135" i="7"/>
  <c r="O135" i="7"/>
  <c r="R134" i="7"/>
  <c r="O134" i="7"/>
  <c r="R133" i="7"/>
  <c r="O133" i="7"/>
  <c r="O132" i="7"/>
  <c r="R131" i="7"/>
  <c r="O131" i="7"/>
  <c r="R130" i="7"/>
  <c r="O130" i="7"/>
  <c r="R129" i="7"/>
  <c r="O129" i="7"/>
  <c r="R128" i="7"/>
  <c r="O128" i="7"/>
  <c r="R127" i="7"/>
  <c r="O127" i="7"/>
  <c r="R126" i="7"/>
  <c r="O126" i="7"/>
  <c r="R125" i="7"/>
  <c r="O125" i="7"/>
  <c r="R124" i="7"/>
  <c r="O124" i="7"/>
  <c r="R123" i="7"/>
  <c r="O123" i="7"/>
  <c r="R122" i="7"/>
  <c r="O122" i="7"/>
  <c r="R121" i="7"/>
  <c r="O121" i="7"/>
  <c r="R120" i="7"/>
  <c r="O120" i="7"/>
  <c r="R119" i="7"/>
  <c r="O119" i="7"/>
  <c r="R118" i="7"/>
  <c r="O118" i="7"/>
  <c r="R117" i="7"/>
  <c r="O117" i="7"/>
  <c r="R116" i="7"/>
  <c r="O116" i="7"/>
  <c r="R115" i="7"/>
  <c r="O115" i="7"/>
  <c r="R114" i="7"/>
  <c r="O114" i="7"/>
  <c r="R113" i="7"/>
  <c r="O113" i="7"/>
  <c r="R112" i="7"/>
  <c r="O112" i="7"/>
  <c r="R111" i="7"/>
  <c r="O111" i="7"/>
  <c r="R110" i="7"/>
  <c r="O110" i="7"/>
  <c r="R109" i="7"/>
  <c r="O109" i="7"/>
  <c r="R108" i="7"/>
  <c r="O108" i="7"/>
  <c r="R107" i="7"/>
  <c r="O107" i="7"/>
  <c r="R106" i="7"/>
  <c r="O106" i="7"/>
  <c r="R105" i="7"/>
  <c r="O105" i="7"/>
  <c r="R104" i="7"/>
  <c r="O104" i="7"/>
  <c r="R103" i="7"/>
  <c r="O103" i="7"/>
  <c r="R102" i="7"/>
  <c r="O102" i="7"/>
  <c r="R101" i="7"/>
  <c r="O101" i="7"/>
  <c r="R100" i="7"/>
  <c r="O100" i="7"/>
  <c r="R99" i="7"/>
  <c r="O99" i="7"/>
  <c r="R98" i="7"/>
  <c r="O98" i="7"/>
  <c r="R97" i="7"/>
  <c r="O97" i="7"/>
  <c r="R96" i="7"/>
  <c r="O96" i="7"/>
  <c r="R95" i="7"/>
  <c r="O95" i="7"/>
  <c r="R94" i="7"/>
  <c r="O94" i="7"/>
  <c r="R93" i="7"/>
  <c r="O93" i="7"/>
  <c r="R92" i="7"/>
  <c r="O92" i="7"/>
  <c r="R91" i="7"/>
  <c r="O91" i="7"/>
  <c r="R90" i="7"/>
  <c r="O90" i="7"/>
  <c r="R89" i="7"/>
  <c r="O89" i="7"/>
  <c r="R88" i="7"/>
  <c r="O88" i="7"/>
  <c r="R87" i="7"/>
  <c r="O87" i="7"/>
  <c r="R86" i="7"/>
  <c r="O86" i="7"/>
  <c r="R85" i="7"/>
  <c r="O85" i="7"/>
  <c r="R84" i="7"/>
  <c r="O84" i="7"/>
  <c r="R83" i="7"/>
  <c r="O83" i="7"/>
  <c r="R82" i="7"/>
  <c r="O82" i="7"/>
  <c r="R81" i="7"/>
  <c r="O81" i="7"/>
  <c r="R80" i="7"/>
  <c r="O80" i="7"/>
  <c r="O77" i="7"/>
  <c r="N77" i="7"/>
  <c r="M77" i="7"/>
  <c r="L77" i="7"/>
  <c r="K77" i="7"/>
  <c r="J77" i="7"/>
  <c r="I77" i="7"/>
  <c r="H77" i="7"/>
  <c r="G77" i="7"/>
  <c r="F77" i="7"/>
  <c r="E77" i="7"/>
  <c r="D77" i="7"/>
  <c r="C77" i="7"/>
  <c r="R75" i="7"/>
  <c r="O75" i="7"/>
  <c r="R73" i="7"/>
  <c r="O73" i="7"/>
  <c r="N73" i="7"/>
  <c r="R72" i="7"/>
  <c r="O72" i="7"/>
  <c r="R71" i="7"/>
  <c r="O71" i="7"/>
  <c r="N71" i="7"/>
  <c r="R70" i="7"/>
  <c r="O70" i="7"/>
  <c r="R69" i="7"/>
  <c r="O69" i="7"/>
  <c r="R68" i="7"/>
  <c r="O68" i="7"/>
  <c r="R67" i="7"/>
  <c r="R66" i="7"/>
  <c r="R65" i="7"/>
  <c r="R64" i="7"/>
  <c r="R63" i="7"/>
  <c r="O63" i="7"/>
  <c r="R62" i="7"/>
  <c r="O62" i="7"/>
  <c r="R61" i="7"/>
  <c r="O61" i="7"/>
  <c r="R60" i="7"/>
  <c r="O60" i="7"/>
  <c r="O59" i="7"/>
  <c r="R58" i="7"/>
  <c r="O58" i="7"/>
  <c r="R57" i="7"/>
  <c r="O57" i="7"/>
  <c r="R56" i="7"/>
  <c r="O56" i="7"/>
  <c r="R55" i="7"/>
  <c r="O55" i="7"/>
  <c r="R54" i="7"/>
  <c r="O54" i="7"/>
  <c r="R53" i="7"/>
  <c r="O53" i="7"/>
  <c r="R52" i="7"/>
  <c r="O52" i="7"/>
  <c r="R51" i="7"/>
  <c r="O51" i="7"/>
  <c r="R50" i="7"/>
  <c r="O50" i="7"/>
  <c r="R49" i="7"/>
  <c r="O49" i="7"/>
  <c r="R48" i="7"/>
  <c r="O48" i="7"/>
  <c r="R47" i="7"/>
  <c r="O47" i="7"/>
  <c r="R46" i="7"/>
  <c r="O46" i="7"/>
  <c r="R45" i="7"/>
  <c r="O45" i="7"/>
  <c r="R44" i="7"/>
  <c r="O44" i="7"/>
  <c r="R43" i="7"/>
  <c r="O43" i="7"/>
  <c r="R42" i="7"/>
  <c r="O42" i="7"/>
  <c r="R41" i="7"/>
  <c r="O41" i="7"/>
  <c r="R40" i="7"/>
  <c r="O40" i="7"/>
  <c r="R39" i="7"/>
  <c r="O39" i="7"/>
  <c r="R38" i="7"/>
  <c r="O38" i="7"/>
  <c r="R37" i="7"/>
  <c r="O37" i="7"/>
  <c r="R36" i="7"/>
  <c r="O36" i="7"/>
  <c r="R35" i="7"/>
  <c r="O35" i="7"/>
  <c r="R34" i="7"/>
  <c r="O34" i="7"/>
  <c r="R33" i="7"/>
  <c r="O33" i="7"/>
  <c r="R32" i="7"/>
  <c r="O32" i="7"/>
  <c r="R31" i="7"/>
  <c r="O31" i="7"/>
  <c r="R30" i="7"/>
  <c r="O30" i="7"/>
  <c r="R29" i="7"/>
  <c r="O29" i="7"/>
  <c r="R28" i="7"/>
  <c r="O28" i="7"/>
  <c r="R27" i="7"/>
  <c r="O27" i="7"/>
  <c r="R26" i="7"/>
  <c r="O26" i="7"/>
  <c r="R25" i="7"/>
  <c r="O25" i="7"/>
  <c r="R24" i="7"/>
  <c r="O24" i="7"/>
  <c r="R23" i="7"/>
  <c r="O23" i="7"/>
  <c r="R22" i="7"/>
  <c r="O22" i="7"/>
  <c r="R21" i="7"/>
  <c r="O21" i="7"/>
  <c r="R20" i="7"/>
  <c r="O20" i="7"/>
  <c r="R19" i="7"/>
  <c r="O19" i="7"/>
  <c r="R18" i="7"/>
  <c r="O18" i="7"/>
  <c r="R17" i="7"/>
  <c r="O17" i="7"/>
  <c r="R16" i="7"/>
  <c r="O16" i="7"/>
  <c r="R15" i="7"/>
  <c r="O15" i="7"/>
  <c r="R14" i="7"/>
  <c r="O14" i="7"/>
  <c r="R13" i="7"/>
  <c r="O13" i="7"/>
  <c r="R12" i="7"/>
  <c r="O12" i="7"/>
  <c r="R11" i="7"/>
  <c r="O11" i="7"/>
  <c r="R10" i="7"/>
  <c r="O10" i="7"/>
  <c r="R9" i="7"/>
  <c r="O9" i="7"/>
  <c r="R8" i="7"/>
  <c r="O8" i="7"/>
  <c r="R7" i="7"/>
  <c r="O7" i="7"/>
  <c r="R6" i="7"/>
  <c r="O6" i="7"/>
  <c r="O3" i="7"/>
  <c r="R107" i="19"/>
  <c r="R104" i="19"/>
  <c r="S103" i="19"/>
  <c r="S97" i="19"/>
  <c r="P97" i="19"/>
  <c r="O97" i="19"/>
  <c r="N97" i="19"/>
  <c r="M97" i="19"/>
  <c r="L97" i="19"/>
  <c r="K97" i="19"/>
  <c r="J97" i="19"/>
  <c r="I97" i="19"/>
  <c r="H97" i="19"/>
  <c r="G97" i="19"/>
  <c r="F97" i="19"/>
  <c r="E97" i="19"/>
  <c r="D97" i="19"/>
  <c r="U96" i="19"/>
  <c r="S96" i="19"/>
  <c r="Q96" i="19"/>
  <c r="P96" i="19"/>
  <c r="O96" i="19"/>
  <c r="N96" i="19"/>
  <c r="M96" i="19"/>
  <c r="L96" i="19"/>
  <c r="K96" i="19"/>
  <c r="J96" i="19"/>
  <c r="I96" i="19"/>
  <c r="H96" i="19"/>
  <c r="G96" i="19"/>
  <c r="F96" i="19"/>
  <c r="E96" i="19"/>
  <c r="D96" i="19"/>
  <c r="S95" i="19"/>
  <c r="P95" i="19"/>
  <c r="O95" i="19"/>
  <c r="N95" i="19"/>
  <c r="M95" i="19"/>
  <c r="L95" i="19"/>
  <c r="K95" i="19"/>
  <c r="J95" i="19"/>
  <c r="I95" i="19"/>
  <c r="H95" i="19"/>
  <c r="G95" i="19"/>
  <c r="F95" i="19"/>
  <c r="E95" i="19"/>
  <c r="D95" i="19"/>
  <c r="U94" i="19"/>
  <c r="T94" i="19"/>
  <c r="O94" i="19"/>
  <c r="N94" i="19"/>
  <c r="M94" i="19"/>
  <c r="L94" i="19"/>
  <c r="K94" i="19"/>
  <c r="J94" i="19"/>
  <c r="I94" i="19"/>
  <c r="H94" i="19"/>
  <c r="G94" i="19"/>
  <c r="F94" i="19"/>
  <c r="E94" i="19"/>
  <c r="D94" i="19"/>
  <c r="U93" i="19"/>
  <c r="T93" i="19"/>
  <c r="O93" i="19"/>
  <c r="N93" i="19"/>
  <c r="M93" i="19"/>
  <c r="L93" i="19"/>
  <c r="K93" i="19"/>
  <c r="J93" i="19"/>
  <c r="I93" i="19"/>
  <c r="H93" i="19"/>
  <c r="G93" i="19"/>
  <c r="F93" i="19"/>
  <c r="E93" i="19"/>
  <c r="D93" i="19"/>
  <c r="U92" i="19"/>
  <c r="T92" i="19"/>
  <c r="O92" i="19"/>
  <c r="N92" i="19"/>
  <c r="M92" i="19"/>
  <c r="L92" i="19"/>
  <c r="K92" i="19"/>
  <c r="J92" i="19"/>
  <c r="I92" i="19"/>
  <c r="H92" i="19"/>
  <c r="G92" i="19"/>
  <c r="F92" i="19"/>
  <c r="E92" i="19"/>
  <c r="D92" i="19"/>
  <c r="U91" i="19"/>
  <c r="T91" i="19"/>
  <c r="O91" i="19"/>
  <c r="N91" i="19"/>
  <c r="M91" i="19"/>
  <c r="L91" i="19"/>
  <c r="K91" i="19"/>
  <c r="J91" i="19"/>
  <c r="I91" i="19"/>
  <c r="H91" i="19"/>
  <c r="G91" i="19"/>
  <c r="F91" i="19"/>
  <c r="E91" i="19"/>
  <c r="D91" i="19"/>
  <c r="U90" i="19"/>
  <c r="T90" i="19"/>
  <c r="O90" i="19"/>
  <c r="N90" i="19"/>
  <c r="M90" i="19"/>
  <c r="L90" i="19"/>
  <c r="K90" i="19"/>
  <c r="J90" i="19"/>
  <c r="I90" i="19"/>
  <c r="H90" i="19"/>
  <c r="G90" i="19"/>
  <c r="F90" i="19"/>
  <c r="E90" i="19"/>
  <c r="D90" i="19"/>
  <c r="U89" i="19"/>
  <c r="T89" i="19"/>
  <c r="O89" i="19"/>
  <c r="N89" i="19"/>
  <c r="M89" i="19"/>
  <c r="L89" i="19"/>
  <c r="K89" i="19"/>
  <c r="J89" i="19"/>
  <c r="I89" i="19"/>
  <c r="H89" i="19"/>
  <c r="G89" i="19"/>
  <c r="F89" i="19"/>
  <c r="E89" i="19"/>
  <c r="D89" i="19"/>
  <c r="U88" i="19"/>
  <c r="T88" i="19"/>
  <c r="O88" i="19"/>
  <c r="N88" i="19"/>
  <c r="M88" i="19"/>
  <c r="L88" i="19"/>
  <c r="K88" i="19"/>
  <c r="J88" i="19"/>
  <c r="I88" i="19"/>
  <c r="H88" i="19"/>
  <c r="G88" i="19"/>
  <c r="F88" i="19"/>
  <c r="E88" i="19"/>
  <c r="D88" i="19"/>
  <c r="U87" i="19"/>
  <c r="T87" i="19"/>
  <c r="O87" i="19"/>
  <c r="N87" i="19"/>
  <c r="M87" i="19"/>
  <c r="L87" i="19"/>
  <c r="K87" i="19"/>
  <c r="J87" i="19"/>
  <c r="I87" i="19"/>
  <c r="H87" i="19"/>
  <c r="G87" i="19"/>
  <c r="F87" i="19"/>
  <c r="E87" i="19"/>
  <c r="D87" i="19"/>
  <c r="U86" i="19"/>
  <c r="T86" i="19"/>
  <c r="O86" i="19"/>
  <c r="N86" i="19"/>
  <c r="M86" i="19"/>
  <c r="L86" i="19"/>
  <c r="K86" i="19"/>
  <c r="J86" i="19"/>
  <c r="I86" i="19"/>
  <c r="H86" i="19"/>
  <c r="G86" i="19"/>
  <c r="F86" i="19"/>
  <c r="E86" i="19"/>
  <c r="D86" i="19"/>
  <c r="U85" i="19"/>
  <c r="T85" i="19"/>
  <c r="O85" i="19"/>
  <c r="N85" i="19"/>
  <c r="M85" i="19"/>
  <c r="L85" i="19"/>
  <c r="K85" i="19"/>
  <c r="J85" i="19"/>
  <c r="I85" i="19"/>
  <c r="H85" i="19"/>
  <c r="G85" i="19"/>
  <c r="F85" i="19"/>
  <c r="E85" i="19"/>
  <c r="D85" i="19"/>
  <c r="U84" i="19"/>
  <c r="T84" i="19"/>
  <c r="O84" i="19"/>
  <c r="N84" i="19"/>
  <c r="M84" i="19"/>
  <c r="L84" i="19"/>
  <c r="K84" i="19"/>
  <c r="J84" i="19"/>
  <c r="I84" i="19"/>
  <c r="H84" i="19"/>
  <c r="G84" i="19"/>
  <c r="F84" i="19"/>
  <c r="E84" i="19"/>
  <c r="D84" i="19"/>
  <c r="U83" i="19"/>
  <c r="T83" i="19"/>
  <c r="O83" i="19"/>
  <c r="N83" i="19"/>
  <c r="M83" i="19"/>
  <c r="L83" i="19"/>
  <c r="K83" i="19"/>
  <c r="J83" i="19"/>
  <c r="I83" i="19"/>
  <c r="H83" i="19"/>
  <c r="G83" i="19"/>
  <c r="F83" i="19"/>
  <c r="E83" i="19"/>
  <c r="D83" i="19"/>
  <c r="U82" i="19"/>
  <c r="T82" i="19"/>
  <c r="O82" i="19"/>
  <c r="N82" i="19"/>
  <c r="M82" i="19"/>
  <c r="L82" i="19"/>
  <c r="K82" i="19"/>
  <c r="J82" i="19"/>
  <c r="I82" i="19"/>
  <c r="H82" i="19"/>
  <c r="G82" i="19"/>
  <c r="F82" i="19"/>
  <c r="E82" i="19"/>
  <c r="D82" i="19"/>
  <c r="U81" i="19"/>
  <c r="T81" i="19"/>
  <c r="O81" i="19"/>
  <c r="N81" i="19"/>
  <c r="M81" i="19"/>
  <c r="L81" i="19"/>
  <c r="K81" i="19"/>
  <c r="J81" i="19"/>
  <c r="I81" i="19"/>
  <c r="H81" i="19"/>
  <c r="G81" i="19"/>
  <c r="F81" i="19"/>
  <c r="E81" i="19"/>
  <c r="D81" i="19"/>
  <c r="U80" i="19"/>
  <c r="T80" i="19"/>
  <c r="O80" i="19"/>
  <c r="N80" i="19"/>
  <c r="M80" i="19"/>
  <c r="L80" i="19"/>
  <c r="K80" i="19"/>
  <c r="J80" i="19"/>
  <c r="I80" i="19"/>
  <c r="H80" i="19"/>
  <c r="G80" i="19"/>
  <c r="F80" i="19"/>
  <c r="E80" i="19"/>
  <c r="D80" i="19"/>
  <c r="U79" i="19"/>
  <c r="T79" i="19"/>
  <c r="O79" i="19"/>
  <c r="N79" i="19"/>
  <c r="M79" i="19"/>
  <c r="L79" i="19"/>
  <c r="K79" i="19"/>
  <c r="J79" i="19"/>
  <c r="I79" i="19"/>
  <c r="H79" i="19"/>
  <c r="G79" i="19"/>
  <c r="F79" i="19"/>
  <c r="E79" i="19"/>
  <c r="D79" i="19"/>
  <c r="U78" i="19"/>
  <c r="T78" i="19"/>
  <c r="O78" i="19"/>
  <c r="N78" i="19"/>
  <c r="M78" i="19"/>
  <c r="L78" i="19"/>
  <c r="K78" i="19"/>
  <c r="J78" i="19"/>
  <c r="I78" i="19"/>
  <c r="H78" i="19"/>
  <c r="G78" i="19"/>
  <c r="F78" i="19"/>
  <c r="E78" i="19"/>
  <c r="D78" i="19"/>
  <c r="U77" i="19"/>
  <c r="T77" i="19"/>
  <c r="O77" i="19"/>
  <c r="N77" i="19"/>
  <c r="M77" i="19"/>
  <c r="L77" i="19"/>
  <c r="K77" i="19"/>
  <c r="J77" i="19"/>
  <c r="I77" i="19"/>
  <c r="H77" i="19"/>
  <c r="G77" i="19"/>
  <c r="F77" i="19"/>
  <c r="E77" i="19"/>
  <c r="D77" i="19"/>
  <c r="U76" i="19"/>
  <c r="T76" i="19"/>
  <c r="O76" i="19"/>
  <c r="N76" i="19"/>
  <c r="M76" i="19"/>
  <c r="L76" i="19"/>
  <c r="K76" i="19"/>
  <c r="J76" i="19"/>
  <c r="I76" i="19"/>
  <c r="H76" i="19"/>
  <c r="G76" i="19"/>
  <c r="F76" i="19"/>
  <c r="E76" i="19"/>
  <c r="D76" i="19"/>
  <c r="U75" i="19"/>
  <c r="T75" i="19"/>
  <c r="O75" i="19"/>
  <c r="N75" i="19"/>
  <c r="M75" i="19"/>
  <c r="L75" i="19"/>
  <c r="K75" i="19"/>
  <c r="J75" i="19"/>
  <c r="I75" i="19"/>
  <c r="H75" i="19"/>
  <c r="G75" i="19"/>
  <c r="F75" i="19"/>
  <c r="E75" i="19"/>
  <c r="D75" i="19"/>
  <c r="U74" i="19"/>
  <c r="T74" i="19"/>
  <c r="O74" i="19"/>
  <c r="N74" i="19"/>
  <c r="M74" i="19"/>
  <c r="L74" i="19"/>
  <c r="K74" i="19"/>
  <c r="J74" i="19"/>
  <c r="I74" i="19"/>
  <c r="H74" i="19"/>
  <c r="G74" i="19"/>
  <c r="F74" i="19"/>
  <c r="E74" i="19"/>
  <c r="D74" i="19"/>
  <c r="U73" i="19"/>
  <c r="T73" i="19"/>
  <c r="O73" i="19"/>
  <c r="N73" i="19"/>
  <c r="M73" i="19"/>
  <c r="L73" i="19"/>
  <c r="K73" i="19"/>
  <c r="J73" i="19"/>
  <c r="I73" i="19"/>
  <c r="H73" i="19"/>
  <c r="G73" i="19"/>
  <c r="F73" i="19"/>
  <c r="E73" i="19"/>
  <c r="D73" i="19"/>
  <c r="U72" i="19"/>
  <c r="T72" i="19"/>
  <c r="O72" i="19"/>
  <c r="N72" i="19"/>
  <c r="M72" i="19"/>
  <c r="L72" i="19"/>
  <c r="K72" i="19"/>
  <c r="J72" i="19"/>
  <c r="I72" i="19"/>
  <c r="H72" i="19"/>
  <c r="G72" i="19"/>
  <c r="F72" i="19"/>
  <c r="E72" i="19"/>
  <c r="D72" i="19"/>
  <c r="U71" i="19"/>
  <c r="T71" i="19"/>
  <c r="O71" i="19"/>
  <c r="N71" i="19"/>
  <c r="M71" i="19"/>
  <c r="L71" i="19"/>
  <c r="K71" i="19"/>
  <c r="J71" i="19"/>
  <c r="I71" i="19"/>
  <c r="H71" i="19"/>
  <c r="G71" i="19"/>
  <c r="F71" i="19"/>
  <c r="E71" i="19"/>
  <c r="D71" i="19"/>
  <c r="U70" i="19"/>
  <c r="T70" i="19"/>
  <c r="O70" i="19"/>
  <c r="N70" i="19"/>
  <c r="M70" i="19"/>
  <c r="L70" i="19"/>
  <c r="K70" i="19"/>
  <c r="J70" i="19"/>
  <c r="I70" i="19"/>
  <c r="H70" i="19"/>
  <c r="G70" i="19"/>
  <c r="F70" i="19"/>
  <c r="E70" i="19"/>
  <c r="D70" i="19"/>
  <c r="U69" i="19"/>
  <c r="T69" i="19"/>
  <c r="O69" i="19"/>
  <c r="N69" i="19"/>
  <c r="M69" i="19"/>
  <c r="L69" i="19"/>
  <c r="K69" i="19"/>
  <c r="J69" i="19"/>
  <c r="I69" i="19"/>
  <c r="H69" i="19"/>
  <c r="G69" i="19"/>
  <c r="F69" i="19"/>
  <c r="E69" i="19"/>
  <c r="D69" i="19"/>
  <c r="U68" i="19"/>
  <c r="T68" i="19"/>
  <c r="O68" i="19"/>
  <c r="N68" i="19"/>
  <c r="M68" i="19"/>
  <c r="L68" i="19"/>
  <c r="K68" i="19"/>
  <c r="J68" i="19"/>
  <c r="I68" i="19"/>
  <c r="H68" i="19"/>
  <c r="G68" i="19"/>
  <c r="F68" i="19"/>
  <c r="E68" i="19"/>
  <c r="D68" i="19"/>
  <c r="U67" i="19"/>
  <c r="T67" i="19"/>
  <c r="O67" i="19"/>
  <c r="N67" i="19"/>
  <c r="M67" i="19"/>
  <c r="L67" i="19"/>
  <c r="K67" i="19"/>
  <c r="J67" i="19"/>
  <c r="I67" i="19"/>
  <c r="H67" i="19"/>
  <c r="G67" i="19"/>
  <c r="F67" i="19"/>
  <c r="E67" i="19"/>
  <c r="D67" i="19"/>
  <c r="U66" i="19"/>
  <c r="T66" i="19"/>
  <c r="O66" i="19"/>
  <c r="N66" i="19"/>
  <c r="M66" i="19"/>
  <c r="L66" i="19"/>
  <c r="K66" i="19"/>
  <c r="J66" i="19"/>
  <c r="I66" i="19"/>
  <c r="H66" i="19"/>
  <c r="G66" i="19"/>
  <c r="F66" i="19"/>
  <c r="E66" i="19"/>
  <c r="D66" i="19"/>
  <c r="U65" i="19"/>
  <c r="T65" i="19"/>
  <c r="O65" i="19"/>
  <c r="N65" i="19"/>
  <c r="M65" i="19"/>
  <c r="L65" i="19"/>
  <c r="K65" i="19"/>
  <c r="J65" i="19"/>
  <c r="I65" i="19"/>
  <c r="H65" i="19"/>
  <c r="G65" i="19"/>
  <c r="F65" i="19"/>
  <c r="E65" i="19"/>
  <c r="D65" i="19"/>
  <c r="U64" i="19"/>
  <c r="T64" i="19"/>
  <c r="O64" i="19"/>
  <c r="N64" i="19"/>
  <c r="M64" i="19"/>
  <c r="L64" i="19"/>
  <c r="K64" i="19"/>
  <c r="J64" i="19"/>
  <c r="I64" i="19"/>
  <c r="H64" i="19"/>
  <c r="G64" i="19"/>
  <c r="F64" i="19"/>
  <c r="E64" i="19"/>
  <c r="D64" i="19"/>
  <c r="U63" i="19"/>
  <c r="T63" i="19"/>
  <c r="O63" i="19"/>
  <c r="N63" i="19"/>
  <c r="M63" i="19"/>
  <c r="L63" i="19"/>
  <c r="K63" i="19"/>
  <c r="J63" i="19"/>
  <c r="I63" i="19"/>
  <c r="H63" i="19"/>
  <c r="G63" i="19"/>
  <c r="F63" i="19"/>
  <c r="E63" i="19"/>
  <c r="D63" i="19"/>
  <c r="U62" i="19"/>
  <c r="T62" i="19"/>
  <c r="O62" i="19"/>
  <c r="N62" i="19"/>
  <c r="M62" i="19"/>
  <c r="L62" i="19"/>
  <c r="K62" i="19"/>
  <c r="J62" i="19"/>
  <c r="I62" i="19"/>
  <c r="H62" i="19"/>
  <c r="G62" i="19"/>
  <c r="F62" i="19"/>
  <c r="E62" i="19"/>
  <c r="D62" i="19"/>
  <c r="U61" i="19"/>
  <c r="T61" i="19"/>
  <c r="O61" i="19"/>
  <c r="N61" i="19"/>
  <c r="M61" i="19"/>
  <c r="L61" i="19"/>
  <c r="K61" i="19"/>
  <c r="J61" i="19"/>
  <c r="I61" i="19"/>
  <c r="H61" i="19"/>
  <c r="G61" i="19"/>
  <c r="F61" i="19"/>
  <c r="E61" i="19"/>
  <c r="D61" i="19"/>
  <c r="U60" i="19"/>
  <c r="T60" i="19"/>
  <c r="O60" i="19"/>
  <c r="N60" i="19"/>
  <c r="M60" i="19"/>
  <c r="L60" i="19"/>
  <c r="K60" i="19"/>
  <c r="J60" i="19"/>
  <c r="I60" i="19"/>
  <c r="H60" i="19"/>
  <c r="G60" i="19"/>
  <c r="F60" i="19"/>
  <c r="E60" i="19"/>
  <c r="D60" i="19"/>
  <c r="U59" i="19"/>
  <c r="T59" i="19"/>
  <c r="O59" i="19"/>
  <c r="N59" i="19"/>
  <c r="M59" i="19"/>
  <c r="L59" i="19"/>
  <c r="K59" i="19"/>
  <c r="J59" i="19"/>
  <c r="I59" i="19"/>
  <c r="H59" i="19"/>
  <c r="G59" i="19"/>
  <c r="F59" i="19"/>
  <c r="E59" i="19"/>
  <c r="D59" i="19"/>
  <c r="U58" i="19"/>
  <c r="T58" i="19"/>
  <c r="O58" i="19"/>
  <c r="N58" i="19"/>
  <c r="M58" i="19"/>
  <c r="L58" i="19"/>
  <c r="K58" i="19"/>
  <c r="J58" i="19"/>
  <c r="I58" i="19"/>
  <c r="H58" i="19"/>
  <c r="G58" i="19"/>
  <c r="F58" i="19"/>
  <c r="E58" i="19"/>
  <c r="D58" i="19"/>
  <c r="U57" i="19"/>
  <c r="T57" i="19"/>
  <c r="O57" i="19"/>
  <c r="N57" i="19"/>
  <c r="M57" i="19"/>
  <c r="L57" i="19"/>
  <c r="K57" i="19"/>
  <c r="J57" i="19"/>
  <c r="I57" i="19"/>
  <c r="H57" i="19"/>
  <c r="G57" i="19"/>
  <c r="F57" i="19"/>
  <c r="E57" i="19"/>
  <c r="D57" i="19"/>
  <c r="U56" i="19"/>
  <c r="T56" i="19"/>
  <c r="O56" i="19"/>
  <c r="N56" i="19"/>
  <c r="M56" i="19"/>
  <c r="L56" i="19"/>
  <c r="K56" i="19"/>
  <c r="J56" i="19"/>
  <c r="I56" i="19"/>
  <c r="H56" i="19"/>
  <c r="G56" i="19"/>
  <c r="F56" i="19"/>
  <c r="E56" i="19"/>
  <c r="D56" i="19"/>
  <c r="U55" i="19"/>
  <c r="T55" i="19"/>
  <c r="O55" i="19"/>
  <c r="N55" i="19"/>
  <c r="M55" i="19"/>
  <c r="L55" i="19"/>
  <c r="K55" i="19"/>
  <c r="J55" i="19"/>
  <c r="I55" i="19"/>
  <c r="H55" i="19"/>
  <c r="G55" i="19"/>
  <c r="F55" i="19"/>
  <c r="E55" i="19"/>
  <c r="D55" i="19"/>
  <c r="U54" i="19"/>
  <c r="T54" i="19"/>
  <c r="O54" i="19"/>
  <c r="N54" i="19"/>
  <c r="M54" i="19"/>
  <c r="L54" i="19"/>
  <c r="K54" i="19"/>
  <c r="J54" i="19"/>
  <c r="I54" i="19"/>
  <c r="H54" i="19"/>
  <c r="G54" i="19"/>
  <c r="F54" i="19"/>
  <c r="E54" i="19"/>
  <c r="D54" i="19"/>
  <c r="U53" i="19"/>
  <c r="T53" i="19"/>
  <c r="O53" i="19"/>
  <c r="N53" i="19"/>
  <c r="M53" i="19"/>
  <c r="L53" i="19"/>
  <c r="K53" i="19"/>
  <c r="J53" i="19"/>
  <c r="I53" i="19"/>
  <c r="H53" i="19"/>
  <c r="G53" i="19"/>
  <c r="F53" i="19"/>
  <c r="E53" i="19"/>
  <c r="D53" i="19"/>
  <c r="U52" i="19"/>
  <c r="T52" i="19"/>
  <c r="O52" i="19"/>
  <c r="N52" i="19"/>
  <c r="M52" i="19"/>
  <c r="L52" i="19"/>
  <c r="K52" i="19"/>
  <c r="J52" i="19"/>
  <c r="I52" i="19"/>
  <c r="H52" i="19"/>
  <c r="G52" i="19"/>
  <c r="F52" i="19"/>
  <c r="E52" i="19"/>
  <c r="D52" i="19"/>
  <c r="U51" i="19"/>
  <c r="T51" i="19"/>
  <c r="O51" i="19"/>
  <c r="N51" i="19"/>
  <c r="M51" i="19"/>
  <c r="L51" i="19"/>
  <c r="K51" i="19"/>
  <c r="J51" i="19"/>
  <c r="I51" i="19"/>
  <c r="H51" i="19"/>
  <c r="G51" i="19"/>
  <c r="F51" i="19"/>
  <c r="E51" i="19"/>
  <c r="D51" i="19"/>
  <c r="U50" i="19"/>
  <c r="T50" i="19"/>
  <c r="O50" i="19"/>
  <c r="N50" i="19"/>
  <c r="M50" i="19"/>
  <c r="L50" i="19"/>
  <c r="K50" i="19"/>
  <c r="J50" i="19"/>
  <c r="I50" i="19"/>
  <c r="H50" i="19"/>
  <c r="G50" i="19"/>
  <c r="F50" i="19"/>
  <c r="E50" i="19"/>
  <c r="D50" i="19"/>
  <c r="U49" i="19"/>
  <c r="T49" i="19"/>
  <c r="O49" i="19"/>
  <c r="N49" i="19"/>
  <c r="M49" i="19"/>
  <c r="L49" i="19"/>
  <c r="K49" i="19"/>
  <c r="J49" i="19"/>
  <c r="I49" i="19"/>
  <c r="H49" i="19"/>
  <c r="G49" i="19"/>
  <c r="F49" i="19"/>
  <c r="E49" i="19"/>
  <c r="D49" i="19"/>
  <c r="U48" i="19"/>
  <c r="T48" i="19"/>
  <c r="O48" i="19"/>
  <c r="N48" i="19"/>
  <c r="M48" i="19"/>
  <c r="L48" i="19"/>
  <c r="K48" i="19"/>
  <c r="J48" i="19"/>
  <c r="I48" i="19"/>
  <c r="H48" i="19"/>
  <c r="G48" i="19"/>
  <c r="F48" i="19"/>
  <c r="E48" i="19"/>
  <c r="D48" i="19"/>
  <c r="U47" i="19"/>
  <c r="T47" i="19"/>
  <c r="O47" i="19"/>
  <c r="N47" i="19"/>
  <c r="M47" i="19"/>
  <c r="L47" i="19"/>
  <c r="K47" i="19"/>
  <c r="J47" i="19"/>
  <c r="I47" i="19"/>
  <c r="H47" i="19"/>
  <c r="G47" i="19"/>
  <c r="F47" i="19"/>
  <c r="E47" i="19"/>
  <c r="D47" i="19"/>
  <c r="U46" i="19"/>
  <c r="T46" i="19"/>
  <c r="O46" i="19"/>
  <c r="N46" i="19"/>
  <c r="M46" i="19"/>
  <c r="L46" i="19"/>
  <c r="K46" i="19"/>
  <c r="J46" i="19"/>
  <c r="I46" i="19"/>
  <c r="H46" i="19"/>
  <c r="G46" i="19"/>
  <c r="F46" i="19"/>
  <c r="E46" i="19"/>
  <c r="D46" i="19"/>
  <c r="U45" i="19"/>
  <c r="T45" i="19"/>
  <c r="O45" i="19"/>
  <c r="N45" i="19"/>
  <c r="M45" i="19"/>
  <c r="L45" i="19"/>
  <c r="K45" i="19"/>
  <c r="J45" i="19"/>
  <c r="I45" i="19"/>
  <c r="H45" i="19"/>
  <c r="G45" i="19"/>
  <c r="F45" i="19"/>
  <c r="E45" i="19"/>
  <c r="D45" i="19"/>
  <c r="U44" i="19"/>
  <c r="T44" i="19"/>
  <c r="O44" i="19"/>
  <c r="N44" i="19"/>
  <c r="M44" i="19"/>
  <c r="L44" i="19"/>
  <c r="K44" i="19"/>
  <c r="J44" i="19"/>
  <c r="I44" i="19"/>
  <c r="H44" i="19"/>
  <c r="G44" i="19"/>
  <c r="F44" i="19"/>
  <c r="E44" i="19"/>
  <c r="D44" i="19"/>
  <c r="U43" i="19"/>
  <c r="T43" i="19"/>
  <c r="O43" i="19"/>
  <c r="N43" i="19"/>
  <c r="M43" i="19"/>
  <c r="L43" i="19"/>
  <c r="K43" i="19"/>
  <c r="J43" i="19"/>
  <c r="I43" i="19"/>
  <c r="H43" i="19"/>
  <c r="G43" i="19"/>
  <c r="F43" i="19"/>
  <c r="E43" i="19"/>
  <c r="D43" i="19"/>
  <c r="U42" i="19"/>
  <c r="T42" i="19"/>
  <c r="O42" i="19"/>
  <c r="N42" i="19"/>
  <c r="M42" i="19"/>
  <c r="L42" i="19"/>
  <c r="K42" i="19"/>
  <c r="J42" i="19"/>
  <c r="I42" i="19"/>
  <c r="H42" i="19"/>
  <c r="G42" i="19"/>
  <c r="F42" i="19"/>
  <c r="E42" i="19"/>
  <c r="D42" i="19"/>
  <c r="U41" i="19"/>
  <c r="T41" i="19"/>
  <c r="O41" i="19"/>
  <c r="N41" i="19"/>
  <c r="M41" i="19"/>
  <c r="L41" i="19"/>
  <c r="K41" i="19"/>
  <c r="J41" i="19"/>
  <c r="I41" i="19"/>
  <c r="H41" i="19"/>
  <c r="G41" i="19"/>
  <c r="F41" i="19"/>
  <c r="E41" i="19"/>
  <c r="D41" i="19"/>
  <c r="U40" i="19"/>
  <c r="T40" i="19"/>
  <c r="O40" i="19"/>
  <c r="N40" i="19"/>
  <c r="M40" i="19"/>
  <c r="L40" i="19"/>
  <c r="K40" i="19"/>
  <c r="J40" i="19"/>
  <c r="I40" i="19"/>
  <c r="H40" i="19"/>
  <c r="G40" i="19"/>
  <c r="F40" i="19"/>
  <c r="E40" i="19"/>
  <c r="D40" i="19"/>
  <c r="U39" i="19"/>
  <c r="T39" i="19"/>
  <c r="O39" i="19"/>
  <c r="N39" i="19"/>
  <c r="M39" i="19"/>
  <c r="L39" i="19"/>
  <c r="K39" i="19"/>
  <c r="J39" i="19"/>
  <c r="I39" i="19"/>
  <c r="H39" i="19"/>
  <c r="G39" i="19"/>
  <c r="F39" i="19"/>
  <c r="E39" i="19"/>
  <c r="D39" i="19"/>
  <c r="U38" i="19"/>
  <c r="T38" i="19"/>
  <c r="O38" i="19"/>
  <c r="N38" i="19"/>
  <c r="M38" i="19"/>
  <c r="L38" i="19"/>
  <c r="K38" i="19"/>
  <c r="J38" i="19"/>
  <c r="I38" i="19"/>
  <c r="H38" i="19"/>
  <c r="G38" i="19"/>
  <c r="F38" i="19"/>
  <c r="E38" i="19"/>
  <c r="D38" i="19"/>
  <c r="U37" i="19"/>
  <c r="T37" i="19"/>
  <c r="O37" i="19"/>
  <c r="N37" i="19"/>
  <c r="M37" i="19"/>
  <c r="L37" i="19"/>
  <c r="K37" i="19"/>
  <c r="J37" i="19"/>
  <c r="I37" i="19"/>
  <c r="H37" i="19"/>
  <c r="G37" i="19"/>
  <c r="F37" i="19"/>
  <c r="E37" i="19"/>
  <c r="D37" i="19"/>
  <c r="U36" i="19"/>
  <c r="T36" i="19"/>
  <c r="O36" i="19"/>
  <c r="N36" i="19"/>
  <c r="M36" i="19"/>
  <c r="L36" i="19"/>
  <c r="K36" i="19"/>
  <c r="J36" i="19"/>
  <c r="I36" i="19"/>
  <c r="H36" i="19"/>
  <c r="G36" i="19"/>
  <c r="F36" i="19"/>
  <c r="E36" i="19"/>
  <c r="D36" i="19"/>
  <c r="O35" i="19"/>
  <c r="N35" i="19"/>
  <c r="M35" i="19"/>
  <c r="L35" i="19"/>
  <c r="K35" i="19"/>
  <c r="J35" i="19"/>
  <c r="I35" i="19"/>
  <c r="H35" i="19"/>
  <c r="G35" i="19"/>
  <c r="F35" i="19"/>
  <c r="E35" i="19"/>
  <c r="D35" i="19"/>
  <c r="U34" i="19"/>
  <c r="T34" i="19"/>
  <c r="O34" i="19"/>
  <c r="N34" i="19"/>
  <c r="M34" i="19"/>
  <c r="L34" i="19"/>
  <c r="K34" i="19"/>
  <c r="J34" i="19"/>
  <c r="I34" i="19"/>
  <c r="H34" i="19"/>
  <c r="G34" i="19"/>
  <c r="F34" i="19"/>
  <c r="E34" i="19"/>
  <c r="D34" i="19"/>
  <c r="U33" i="19"/>
  <c r="T33" i="19"/>
  <c r="O33" i="19"/>
  <c r="N33" i="19"/>
  <c r="M33" i="19"/>
  <c r="L33" i="19"/>
  <c r="K33" i="19"/>
  <c r="J33" i="19"/>
  <c r="I33" i="19"/>
  <c r="H33" i="19"/>
  <c r="G33" i="19"/>
  <c r="F33" i="19"/>
  <c r="E33" i="19"/>
  <c r="D33" i="19"/>
  <c r="U32" i="19"/>
  <c r="T32" i="19"/>
  <c r="O32" i="19"/>
  <c r="N32" i="19"/>
  <c r="M32" i="19"/>
  <c r="L32" i="19"/>
  <c r="K32" i="19"/>
  <c r="J32" i="19"/>
  <c r="I32" i="19"/>
  <c r="H32" i="19"/>
  <c r="G32" i="19"/>
  <c r="F32" i="19"/>
  <c r="E32" i="19"/>
  <c r="D32" i="19"/>
  <c r="R30" i="19"/>
  <c r="S28" i="19"/>
  <c r="S27" i="19"/>
  <c r="S26" i="19"/>
  <c r="S25" i="19"/>
  <c r="S24" i="19"/>
  <c r="S23" i="19"/>
  <c r="S22" i="19"/>
  <c r="P22" i="19"/>
  <c r="S21" i="19"/>
  <c r="P21" i="19"/>
  <c r="U20" i="19"/>
  <c r="T20" i="19"/>
  <c r="O20" i="19"/>
  <c r="N20" i="19"/>
  <c r="M20" i="19"/>
  <c r="L20" i="19"/>
  <c r="K20" i="19"/>
  <c r="J20" i="19"/>
  <c r="I20" i="19"/>
  <c r="H20" i="19"/>
  <c r="G20" i="19"/>
  <c r="F20" i="19"/>
  <c r="E20" i="19"/>
  <c r="D20" i="19"/>
  <c r="U19" i="19"/>
  <c r="T19" i="19"/>
  <c r="O19" i="19"/>
  <c r="N19" i="19"/>
  <c r="M19" i="19"/>
  <c r="L19" i="19"/>
  <c r="K19" i="19"/>
  <c r="J19" i="19"/>
  <c r="I19" i="19"/>
  <c r="H19" i="19"/>
  <c r="G19" i="19"/>
  <c r="F19" i="19"/>
  <c r="E19" i="19"/>
  <c r="D19" i="19"/>
  <c r="T18" i="19"/>
  <c r="O18" i="19"/>
  <c r="N18" i="19"/>
  <c r="M18" i="19"/>
  <c r="L18" i="19"/>
  <c r="K18" i="19"/>
  <c r="J18" i="19"/>
  <c r="I18" i="19"/>
  <c r="H18" i="19"/>
  <c r="G18" i="19"/>
  <c r="F18" i="19"/>
  <c r="E18" i="19"/>
  <c r="D18" i="19"/>
  <c r="U17" i="19"/>
  <c r="T17" i="19"/>
  <c r="O17" i="19"/>
  <c r="N17" i="19"/>
  <c r="M17" i="19"/>
  <c r="L17" i="19"/>
  <c r="K17" i="19"/>
  <c r="J17" i="19"/>
  <c r="I17" i="19"/>
  <c r="H17" i="19"/>
  <c r="G17" i="19"/>
  <c r="F17" i="19"/>
  <c r="E17" i="19"/>
  <c r="D17" i="19"/>
  <c r="U16" i="19"/>
  <c r="T16" i="19"/>
  <c r="O16" i="19"/>
  <c r="N16" i="19"/>
  <c r="M16" i="19"/>
  <c r="L16" i="19"/>
  <c r="K16" i="19"/>
  <c r="J16" i="19"/>
  <c r="I16" i="19"/>
  <c r="H16" i="19"/>
  <c r="G16" i="19"/>
  <c r="F16" i="19"/>
  <c r="E16" i="19"/>
  <c r="D16" i="19"/>
  <c r="U15" i="19"/>
  <c r="T15" i="19"/>
  <c r="O15" i="19"/>
  <c r="N15" i="19"/>
  <c r="M15" i="19"/>
  <c r="L15" i="19"/>
  <c r="K15" i="19"/>
  <c r="J15" i="19"/>
  <c r="I15" i="19"/>
  <c r="H15" i="19"/>
  <c r="G15" i="19"/>
  <c r="F15" i="19"/>
  <c r="E15" i="19"/>
  <c r="D15" i="19"/>
  <c r="U14" i="19"/>
  <c r="T14" i="19"/>
  <c r="O14" i="19"/>
  <c r="N14" i="19"/>
  <c r="M14" i="19"/>
  <c r="L14" i="19"/>
  <c r="K14" i="19"/>
  <c r="J14" i="19"/>
  <c r="I14" i="19"/>
  <c r="H14" i="19"/>
  <c r="G14" i="19"/>
  <c r="F14" i="19"/>
  <c r="E14" i="19"/>
  <c r="D14" i="19"/>
  <c r="U13" i="19"/>
  <c r="T13" i="19"/>
  <c r="O13" i="19"/>
  <c r="N13" i="19"/>
  <c r="M13" i="19"/>
  <c r="L13" i="19"/>
  <c r="K13" i="19"/>
  <c r="J13" i="19"/>
  <c r="I13" i="19"/>
  <c r="H13" i="19"/>
  <c r="G13" i="19"/>
  <c r="F13" i="19"/>
  <c r="E13" i="19"/>
  <c r="D13" i="19"/>
  <c r="U12" i="19"/>
  <c r="T12" i="19"/>
  <c r="O12" i="19"/>
  <c r="N12" i="19"/>
  <c r="M12" i="19"/>
  <c r="L12" i="19"/>
  <c r="K12" i="19"/>
  <c r="J12" i="19"/>
  <c r="I12" i="19"/>
  <c r="H12" i="19"/>
  <c r="G12" i="19"/>
  <c r="F12" i="19"/>
  <c r="E12" i="19"/>
  <c r="D12" i="19"/>
  <c r="U11" i="19"/>
  <c r="T11" i="19"/>
  <c r="O11" i="19"/>
  <c r="N11" i="19"/>
  <c r="M11" i="19"/>
  <c r="L11" i="19"/>
  <c r="K11" i="19"/>
  <c r="J11" i="19"/>
  <c r="I11" i="19"/>
  <c r="H11" i="19"/>
  <c r="G11" i="19"/>
  <c r="F11" i="19"/>
  <c r="E11" i="19"/>
  <c r="D11" i="19"/>
  <c r="U10" i="19"/>
  <c r="T10" i="19"/>
  <c r="O10" i="19"/>
  <c r="N10" i="19"/>
  <c r="M10" i="19"/>
  <c r="L10" i="19"/>
  <c r="K10" i="19"/>
  <c r="J10" i="19"/>
  <c r="I10" i="19"/>
  <c r="H10" i="19"/>
  <c r="G10" i="19"/>
  <c r="F10" i="19"/>
  <c r="E10" i="19"/>
  <c r="D10" i="19"/>
  <c r="U9" i="19"/>
  <c r="T9" i="19"/>
  <c r="O9" i="19"/>
  <c r="N9" i="19"/>
  <c r="M9" i="19"/>
  <c r="L9" i="19"/>
  <c r="K9" i="19"/>
  <c r="J9" i="19"/>
  <c r="I9" i="19"/>
  <c r="H9" i="19"/>
  <c r="G9" i="19"/>
  <c r="F9" i="19"/>
  <c r="E9" i="19"/>
  <c r="D9" i="19"/>
  <c r="U8" i="19"/>
  <c r="T8" i="19"/>
  <c r="O8" i="19"/>
  <c r="N8" i="19"/>
  <c r="M8" i="19"/>
  <c r="L8" i="19"/>
  <c r="K8" i="19"/>
  <c r="J8" i="19"/>
  <c r="I8" i="19"/>
  <c r="H8" i="19"/>
  <c r="G8" i="19"/>
  <c r="F8" i="19"/>
  <c r="E8" i="19"/>
  <c r="D8" i="19"/>
  <c r="U7" i="19"/>
  <c r="T7" i="19"/>
  <c r="O7" i="19"/>
  <c r="N7" i="19"/>
  <c r="M7" i="19"/>
  <c r="L7" i="19"/>
  <c r="K7" i="19"/>
  <c r="J7" i="19"/>
  <c r="I7" i="19"/>
  <c r="H7" i="19"/>
  <c r="G7" i="19"/>
  <c r="F7" i="19"/>
  <c r="E7" i="19"/>
  <c r="D7" i="19"/>
  <c r="U6" i="19"/>
  <c r="T6" i="19"/>
  <c r="O6" i="19"/>
  <c r="N6" i="19"/>
  <c r="M6" i="19"/>
  <c r="L6" i="19"/>
  <c r="K6" i="19"/>
  <c r="J6" i="19"/>
  <c r="I6" i="19"/>
  <c r="H6" i="19"/>
  <c r="G6" i="19"/>
  <c r="F6" i="19"/>
  <c r="E6" i="19"/>
  <c r="D6" i="19"/>
  <c r="U5" i="19"/>
  <c r="T5" i="19"/>
  <c r="O5" i="19"/>
  <c r="N5" i="19"/>
  <c r="M5" i="19"/>
  <c r="M30" i="19" s="1"/>
  <c r="L5" i="19"/>
  <c r="K5" i="19"/>
  <c r="J5" i="19"/>
  <c r="I5" i="19"/>
  <c r="H5" i="19"/>
  <c r="G5" i="19"/>
  <c r="F5" i="19"/>
  <c r="E5" i="19"/>
  <c r="D5" i="19"/>
  <c r="U4" i="19"/>
  <c r="T4" i="19"/>
  <c r="O4" i="19"/>
  <c r="N4" i="19"/>
  <c r="M4" i="19"/>
  <c r="L4" i="19"/>
  <c r="K4" i="19"/>
  <c r="J4" i="19"/>
  <c r="I4" i="19"/>
  <c r="H4" i="19"/>
  <c r="G4" i="19"/>
  <c r="F4" i="19"/>
  <c r="E4" i="19"/>
  <c r="D4" i="19"/>
  <c r="C28" i="9"/>
  <c r="C27" i="9"/>
  <c r="C12" i="9"/>
  <c r="R109" i="13"/>
  <c r="R106" i="13"/>
  <c r="U103" i="13"/>
  <c r="T103" i="13"/>
  <c r="O103" i="13"/>
  <c r="N103" i="13"/>
  <c r="M103" i="13"/>
  <c r="L103" i="13"/>
  <c r="K103" i="13"/>
  <c r="J103" i="13"/>
  <c r="I103" i="13"/>
  <c r="H103" i="13"/>
  <c r="G103" i="13"/>
  <c r="F103" i="13"/>
  <c r="E103" i="13"/>
  <c r="D103" i="13"/>
  <c r="U102" i="13"/>
  <c r="T102" i="13"/>
  <c r="O102" i="13"/>
  <c r="N102" i="13"/>
  <c r="M102" i="13"/>
  <c r="L102" i="13"/>
  <c r="K102" i="13"/>
  <c r="J102" i="13"/>
  <c r="I102" i="13"/>
  <c r="H102" i="13"/>
  <c r="G102" i="13"/>
  <c r="F102" i="13"/>
  <c r="E102" i="13"/>
  <c r="D102" i="13"/>
  <c r="U101" i="13"/>
  <c r="T101" i="13"/>
  <c r="O101" i="13"/>
  <c r="N101" i="13"/>
  <c r="M101" i="13"/>
  <c r="L101" i="13"/>
  <c r="K101" i="13"/>
  <c r="J101" i="13"/>
  <c r="I101" i="13"/>
  <c r="H101" i="13"/>
  <c r="G101" i="13"/>
  <c r="F101" i="13"/>
  <c r="E101" i="13"/>
  <c r="D101" i="13"/>
  <c r="U100" i="13"/>
  <c r="T100" i="13"/>
  <c r="O100" i="13"/>
  <c r="N100" i="13"/>
  <c r="M100" i="13"/>
  <c r="L100" i="13"/>
  <c r="K100" i="13"/>
  <c r="J100" i="13"/>
  <c r="I100" i="13"/>
  <c r="H100" i="13"/>
  <c r="G100" i="13"/>
  <c r="F100" i="13"/>
  <c r="E100" i="13"/>
  <c r="D100" i="13"/>
  <c r="U99" i="13"/>
  <c r="T99" i="13"/>
  <c r="O99" i="13"/>
  <c r="N99" i="13"/>
  <c r="M99" i="13"/>
  <c r="L99" i="13"/>
  <c r="K99" i="13"/>
  <c r="J99" i="13"/>
  <c r="I99" i="13"/>
  <c r="H99" i="13"/>
  <c r="G99" i="13"/>
  <c r="F99" i="13"/>
  <c r="E99" i="13"/>
  <c r="D99" i="13"/>
  <c r="U98" i="13"/>
  <c r="T98" i="13"/>
  <c r="O98" i="13"/>
  <c r="N98" i="13"/>
  <c r="M98" i="13"/>
  <c r="L98" i="13"/>
  <c r="K98" i="13"/>
  <c r="J98" i="13"/>
  <c r="I98" i="13"/>
  <c r="H98" i="13"/>
  <c r="G98" i="13"/>
  <c r="F98" i="13"/>
  <c r="E98" i="13"/>
  <c r="D98" i="13"/>
  <c r="U97" i="13"/>
  <c r="T97" i="13"/>
  <c r="O97" i="13"/>
  <c r="N97" i="13"/>
  <c r="M97" i="13"/>
  <c r="L97" i="13"/>
  <c r="K97" i="13"/>
  <c r="J97" i="13"/>
  <c r="I97" i="13"/>
  <c r="H97" i="13"/>
  <c r="G97" i="13"/>
  <c r="F97" i="13"/>
  <c r="E97" i="13"/>
  <c r="D97" i="13"/>
  <c r="U96" i="13"/>
  <c r="T96" i="13"/>
  <c r="O96" i="13"/>
  <c r="N96" i="13"/>
  <c r="M96" i="13"/>
  <c r="L96" i="13"/>
  <c r="K96" i="13"/>
  <c r="J96" i="13"/>
  <c r="I96" i="13"/>
  <c r="H96" i="13"/>
  <c r="G96" i="13"/>
  <c r="F96" i="13"/>
  <c r="E96" i="13"/>
  <c r="D96" i="13"/>
  <c r="U95" i="13"/>
  <c r="T95" i="13"/>
  <c r="O95" i="13"/>
  <c r="N95" i="13"/>
  <c r="M95" i="13"/>
  <c r="L95" i="13"/>
  <c r="K95" i="13"/>
  <c r="J95" i="13"/>
  <c r="I95" i="13"/>
  <c r="H95" i="13"/>
  <c r="G95" i="13"/>
  <c r="F95" i="13"/>
  <c r="E95" i="13"/>
  <c r="D95" i="13"/>
  <c r="U94" i="13"/>
  <c r="T94" i="13"/>
  <c r="O94" i="13"/>
  <c r="N94" i="13"/>
  <c r="M94" i="13"/>
  <c r="L94" i="13"/>
  <c r="K94" i="13"/>
  <c r="J94" i="13"/>
  <c r="I94" i="13"/>
  <c r="H94" i="13"/>
  <c r="G94" i="13"/>
  <c r="F94" i="13"/>
  <c r="E94" i="13"/>
  <c r="D94" i="13"/>
  <c r="U93" i="13"/>
  <c r="T93" i="13"/>
  <c r="O93" i="13"/>
  <c r="N93" i="13"/>
  <c r="M93" i="13"/>
  <c r="L93" i="13"/>
  <c r="K93" i="13"/>
  <c r="J93" i="13"/>
  <c r="I93" i="13"/>
  <c r="H93" i="13"/>
  <c r="G93" i="13"/>
  <c r="F93" i="13"/>
  <c r="E93" i="13"/>
  <c r="D93" i="13"/>
  <c r="U92" i="13"/>
  <c r="T92" i="13"/>
  <c r="O92" i="13"/>
  <c r="N92" i="13"/>
  <c r="M92" i="13"/>
  <c r="L92" i="13"/>
  <c r="K92" i="13"/>
  <c r="J92" i="13"/>
  <c r="I92" i="13"/>
  <c r="H92" i="13"/>
  <c r="G92" i="13"/>
  <c r="F92" i="13"/>
  <c r="E92" i="13"/>
  <c r="D92" i="13"/>
  <c r="U91" i="13"/>
  <c r="T91" i="13"/>
  <c r="O91" i="13"/>
  <c r="N91" i="13"/>
  <c r="M91" i="13"/>
  <c r="L91" i="13"/>
  <c r="K91" i="13"/>
  <c r="J91" i="13"/>
  <c r="I91" i="13"/>
  <c r="H91" i="13"/>
  <c r="G91" i="13"/>
  <c r="F91" i="13"/>
  <c r="E91" i="13"/>
  <c r="D91" i="13"/>
  <c r="U90" i="13"/>
  <c r="T90" i="13"/>
  <c r="O90" i="13"/>
  <c r="N90" i="13"/>
  <c r="M90" i="13"/>
  <c r="L90" i="13"/>
  <c r="K90" i="13"/>
  <c r="J90" i="13"/>
  <c r="I90" i="13"/>
  <c r="H90" i="13"/>
  <c r="G90" i="13"/>
  <c r="F90" i="13"/>
  <c r="E90" i="13"/>
  <c r="D90" i="13"/>
  <c r="U89" i="13"/>
  <c r="T89" i="13"/>
  <c r="O89" i="13"/>
  <c r="N89" i="13"/>
  <c r="M89" i="13"/>
  <c r="L89" i="13"/>
  <c r="K89" i="13"/>
  <c r="J89" i="13"/>
  <c r="I89" i="13"/>
  <c r="H89" i="13"/>
  <c r="G89" i="13"/>
  <c r="F89" i="13"/>
  <c r="E89" i="13"/>
  <c r="D89" i="13"/>
  <c r="U88" i="13"/>
  <c r="T88" i="13"/>
  <c r="O88" i="13"/>
  <c r="N88" i="13"/>
  <c r="M88" i="13"/>
  <c r="L88" i="13"/>
  <c r="K88" i="13"/>
  <c r="J88" i="13"/>
  <c r="I88" i="13"/>
  <c r="H88" i="13"/>
  <c r="G88" i="13"/>
  <c r="F88" i="13"/>
  <c r="E88" i="13"/>
  <c r="D88" i="13"/>
  <c r="U87" i="13"/>
  <c r="T87" i="13"/>
  <c r="O87" i="13"/>
  <c r="N87" i="13"/>
  <c r="M87" i="13"/>
  <c r="L87" i="13"/>
  <c r="K87" i="13"/>
  <c r="J87" i="13"/>
  <c r="I87" i="13"/>
  <c r="H87" i="13"/>
  <c r="G87" i="13"/>
  <c r="F87" i="13"/>
  <c r="E87" i="13"/>
  <c r="D87" i="13"/>
  <c r="U86" i="13"/>
  <c r="T86" i="13"/>
  <c r="O86" i="13"/>
  <c r="N86" i="13"/>
  <c r="M86" i="13"/>
  <c r="L86" i="13"/>
  <c r="K86" i="13"/>
  <c r="J86" i="13"/>
  <c r="I86" i="13"/>
  <c r="H86" i="13"/>
  <c r="G86" i="13"/>
  <c r="F86" i="13"/>
  <c r="E86" i="13"/>
  <c r="D86" i="13"/>
  <c r="U85" i="13"/>
  <c r="T85" i="13"/>
  <c r="O85" i="13"/>
  <c r="N85" i="13"/>
  <c r="M85" i="13"/>
  <c r="L85" i="13"/>
  <c r="K85" i="13"/>
  <c r="J85" i="13"/>
  <c r="I85" i="13"/>
  <c r="H85" i="13"/>
  <c r="G85" i="13"/>
  <c r="F85" i="13"/>
  <c r="E85" i="13"/>
  <c r="D85" i="13"/>
  <c r="U84" i="13"/>
  <c r="T84" i="13"/>
  <c r="O84" i="13"/>
  <c r="N84" i="13"/>
  <c r="M84" i="13"/>
  <c r="L84" i="13"/>
  <c r="K84" i="13"/>
  <c r="J84" i="13"/>
  <c r="I84" i="13"/>
  <c r="H84" i="13"/>
  <c r="G84" i="13"/>
  <c r="F84" i="13"/>
  <c r="E84" i="13"/>
  <c r="D84" i="13"/>
  <c r="U83" i="13"/>
  <c r="T83" i="13"/>
  <c r="O83" i="13"/>
  <c r="N83" i="13"/>
  <c r="M83" i="13"/>
  <c r="L83" i="13"/>
  <c r="K83" i="13"/>
  <c r="J83" i="13"/>
  <c r="I83" i="13"/>
  <c r="H83" i="13"/>
  <c r="G83" i="13"/>
  <c r="F83" i="13"/>
  <c r="E83" i="13"/>
  <c r="D83" i="13"/>
  <c r="U82" i="13"/>
  <c r="T82" i="13"/>
  <c r="O82" i="13"/>
  <c r="N82" i="13"/>
  <c r="M82" i="13"/>
  <c r="L82" i="13"/>
  <c r="K82" i="13"/>
  <c r="J82" i="13"/>
  <c r="I82" i="13"/>
  <c r="H82" i="13"/>
  <c r="G82" i="13"/>
  <c r="F82" i="13"/>
  <c r="E82" i="13"/>
  <c r="D82" i="13"/>
  <c r="U81" i="13"/>
  <c r="T81" i="13"/>
  <c r="O81" i="13"/>
  <c r="N81" i="13"/>
  <c r="M81" i="13"/>
  <c r="L81" i="13"/>
  <c r="K81" i="13"/>
  <c r="J81" i="13"/>
  <c r="I81" i="13"/>
  <c r="H81" i="13"/>
  <c r="G81" i="13"/>
  <c r="F81" i="13"/>
  <c r="E81" i="13"/>
  <c r="D81" i="13"/>
  <c r="U80" i="13"/>
  <c r="T80" i="13"/>
  <c r="O80" i="13"/>
  <c r="N80" i="13"/>
  <c r="M80" i="13"/>
  <c r="L80" i="13"/>
  <c r="K80" i="13"/>
  <c r="J80" i="13"/>
  <c r="I80" i="13"/>
  <c r="H80" i="13"/>
  <c r="G80" i="13"/>
  <c r="F80" i="13"/>
  <c r="E80" i="13"/>
  <c r="D80" i="13"/>
  <c r="U79" i="13"/>
  <c r="T79" i="13"/>
  <c r="O79" i="13"/>
  <c r="N79" i="13"/>
  <c r="M79" i="13"/>
  <c r="L79" i="13"/>
  <c r="K79" i="13"/>
  <c r="J79" i="13"/>
  <c r="I79" i="13"/>
  <c r="H79" i="13"/>
  <c r="G79" i="13"/>
  <c r="F79" i="13"/>
  <c r="E79" i="13"/>
  <c r="D79" i="13"/>
  <c r="U78" i="13"/>
  <c r="T78" i="13"/>
  <c r="O78" i="13"/>
  <c r="N78" i="13"/>
  <c r="M78" i="13"/>
  <c r="L78" i="13"/>
  <c r="K78" i="13"/>
  <c r="J78" i="13"/>
  <c r="I78" i="13"/>
  <c r="H78" i="13"/>
  <c r="G78" i="13"/>
  <c r="F78" i="13"/>
  <c r="E78" i="13"/>
  <c r="D78" i="13"/>
  <c r="U77" i="13"/>
  <c r="T77" i="13"/>
  <c r="O77" i="13"/>
  <c r="N77" i="13"/>
  <c r="M77" i="13"/>
  <c r="L77" i="13"/>
  <c r="K77" i="13"/>
  <c r="J77" i="13"/>
  <c r="I77" i="13"/>
  <c r="H77" i="13"/>
  <c r="G77" i="13"/>
  <c r="F77" i="13"/>
  <c r="E77" i="13"/>
  <c r="D77" i="13"/>
  <c r="U76" i="13"/>
  <c r="T76" i="13"/>
  <c r="O76" i="13"/>
  <c r="N76" i="13"/>
  <c r="M76" i="13"/>
  <c r="L76" i="13"/>
  <c r="K76" i="13"/>
  <c r="J76" i="13"/>
  <c r="I76" i="13"/>
  <c r="H76" i="13"/>
  <c r="G76" i="13"/>
  <c r="F76" i="13"/>
  <c r="E76" i="13"/>
  <c r="D76" i="13"/>
  <c r="U75" i="13"/>
  <c r="T75" i="13"/>
  <c r="O75" i="13"/>
  <c r="N75" i="13"/>
  <c r="M75" i="13"/>
  <c r="L75" i="13"/>
  <c r="K75" i="13"/>
  <c r="J75" i="13"/>
  <c r="I75" i="13"/>
  <c r="H75" i="13"/>
  <c r="G75" i="13"/>
  <c r="F75" i="13"/>
  <c r="E75" i="13"/>
  <c r="D75" i="13"/>
  <c r="U74" i="13"/>
  <c r="T74" i="13"/>
  <c r="O74" i="13"/>
  <c r="N74" i="13"/>
  <c r="M74" i="13"/>
  <c r="L74" i="13"/>
  <c r="K74" i="13"/>
  <c r="J74" i="13"/>
  <c r="I74" i="13"/>
  <c r="H74" i="13"/>
  <c r="G74" i="13"/>
  <c r="F74" i="13"/>
  <c r="E74" i="13"/>
  <c r="D74" i="13"/>
  <c r="U73" i="13"/>
  <c r="T73" i="13"/>
  <c r="O73" i="13"/>
  <c r="N73" i="13"/>
  <c r="M73" i="13"/>
  <c r="L73" i="13"/>
  <c r="K73" i="13"/>
  <c r="J73" i="13"/>
  <c r="I73" i="13"/>
  <c r="H73" i="13"/>
  <c r="G73" i="13"/>
  <c r="F73" i="13"/>
  <c r="E73" i="13"/>
  <c r="D73" i="13"/>
  <c r="U72" i="13"/>
  <c r="T72" i="13"/>
  <c r="O72" i="13"/>
  <c r="N72" i="13"/>
  <c r="M72" i="13"/>
  <c r="L72" i="13"/>
  <c r="K72" i="13"/>
  <c r="J72" i="13"/>
  <c r="I72" i="13"/>
  <c r="H72" i="13"/>
  <c r="G72" i="13"/>
  <c r="F72" i="13"/>
  <c r="E72" i="13"/>
  <c r="D72" i="13"/>
  <c r="U71" i="13"/>
  <c r="T71" i="13"/>
  <c r="O71" i="13"/>
  <c r="N71" i="13"/>
  <c r="M71" i="13"/>
  <c r="L71" i="13"/>
  <c r="K71" i="13"/>
  <c r="J71" i="13"/>
  <c r="I71" i="13"/>
  <c r="H71" i="13"/>
  <c r="G71" i="13"/>
  <c r="F71" i="13"/>
  <c r="E71" i="13"/>
  <c r="D71" i="13"/>
  <c r="U70" i="13"/>
  <c r="T70" i="13"/>
  <c r="O70" i="13"/>
  <c r="N70" i="13"/>
  <c r="M70" i="13"/>
  <c r="L70" i="13"/>
  <c r="K70" i="13"/>
  <c r="J70" i="13"/>
  <c r="I70" i="13"/>
  <c r="H70" i="13"/>
  <c r="G70" i="13"/>
  <c r="F70" i="13"/>
  <c r="E70" i="13"/>
  <c r="D70" i="13"/>
  <c r="U69" i="13"/>
  <c r="T69" i="13"/>
  <c r="O69" i="13"/>
  <c r="N69" i="13"/>
  <c r="M69" i="13"/>
  <c r="L69" i="13"/>
  <c r="K69" i="13"/>
  <c r="J69" i="13"/>
  <c r="I69" i="13"/>
  <c r="H69" i="13"/>
  <c r="G69" i="13"/>
  <c r="F69" i="13"/>
  <c r="E69" i="13"/>
  <c r="D69" i="13"/>
  <c r="U68" i="13"/>
  <c r="T68" i="13"/>
  <c r="O68" i="13"/>
  <c r="N68" i="13"/>
  <c r="M68" i="13"/>
  <c r="L68" i="13"/>
  <c r="K68" i="13"/>
  <c r="J68" i="13"/>
  <c r="I68" i="13"/>
  <c r="H68" i="13"/>
  <c r="G68" i="13"/>
  <c r="F68" i="13"/>
  <c r="E68" i="13"/>
  <c r="D68" i="13"/>
  <c r="U67" i="13"/>
  <c r="T67" i="13"/>
  <c r="O67" i="13"/>
  <c r="N67" i="13"/>
  <c r="M67" i="13"/>
  <c r="L67" i="13"/>
  <c r="K67" i="13"/>
  <c r="J67" i="13"/>
  <c r="I67" i="13"/>
  <c r="H67" i="13"/>
  <c r="G67" i="13"/>
  <c r="F67" i="13"/>
  <c r="E67" i="13"/>
  <c r="D67" i="13"/>
  <c r="U66" i="13"/>
  <c r="T66" i="13"/>
  <c r="O66" i="13"/>
  <c r="N66" i="13"/>
  <c r="M66" i="13"/>
  <c r="L66" i="13"/>
  <c r="K66" i="13"/>
  <c r="J66" i="13"/>
  <c r="I66" i="13"/>
  <c r="H66" i="13"/>
  <c r="G66" i="13"/>
  <c r="F66" i="13"/>
  <c r="E66" i="13"/>
  <c r="D66" i="13"/>
  <c r="U65" i="13"/>
  <c r="T65" i="13"/>
  <c r="O65" i="13"/>
  <c r="N65" i="13"/>
  <c r="M65" i="13"/>
  <c r="L65" i="13"/>
  <c r="K65" i="13"/>
  <c r="J65" i="13"/>
  <c r="I65" i="13"/>
  <c r="H65" i="13"/>
  <c r="G65" i="13"/>
  <c r="F65" i="13"/>
  <c r="E65" i="13"/>
  <c r="D65" i="13"/>
  <c r="U64" i="13"/>
  <c r="T64" i="13"/>
  <c r="O64" i="13"/>
  <c r="N64" i="13"/>
  <c r="M64" i="13"/>
  <c r="L64" i="13"/>
  <c r="K64" i="13"/>
  <c r="J64" i="13"/>
  <c r="I64" i="13"/>
  <c r="H64" i="13"/>
  <c r="G64" i="13"/>
  <c r="F64" i="13"/>
  <c r="E64" i="13"/>
  <c r="D64" i="13"/>
  <c r="U63" i="13"/>
  <c r="T63" i="13"/>
  <c r="O63" i="13"/>
  <c r="N63" i="13"/>
  <c r="M63" i="13"/>
  <c r="L63" i="13"/>
  <c r="K63" i="13"/>
  <c r="J63" i="13"/>
  <c r="I63" i="13"/>
  <c r="H63" i="13"/>
  <c r="G63" i="13"/>
  <c r="F63" i="13"/>
  <c r="E63" i="13"/>
  <c r="D63" i="13"/>
  <c r="U62" i="13"/>
  <c r="T62" i="13"/>
  <c r="O62" i="13"/>
  <c r="N62" i="13"/>
  <c r="M62" i="13"/>
  <c r="L62" i="13"/>
  <c r="K62" i="13"/>
  <c r="J62" i="13"/>
  <c r="I62" i="13"/>
  <c r="H62" i="13"/>
  <c r="G62" i="13"/>
  <c r="F62" i="13"/>
  <c r="E62" i="13"/>
  <c r="D62" i="13"/>
  <c r="U61" i="13"/>
  <c r="T61" i="13"/>
  <c r="O61" i="13"/>
  <c r="N61" i="13"/>
  <c r="M61" i="13"/>
  <c r="L61" i="13"/>
  <c r="K61" i="13"/>
  <c r="J61" i="13"/>
  <c r="I61" i="13"/>
  <c r="H61" i="13"/>
  <c r="G61" i="13"/>
  <c r="F61" i="13"/>
  <c r="E61" i="13"/>
  <c r="D61" i="13"/>
  <c r="U60" i="13"/>
  <c r="T60" i="13"/>
  <c r="O60" i="13"/>
  <c r="N60" i="13"/>
  <c r="M60" i="13"/>
  <c r="L60" i="13"/>
  <c r="K60" i="13"/>
  <c r="J60" i="13"/>
  <c r="I60" i="13"/>
  <c r="H60" i="13"/>
  <c r="G60" i="13"/>
  <c r="F60" i="13"/>
  <c r="E60" i="13"/>
  <c r="D60" i="13"/>
  <c r="U59" i="13"/>
  <c r="T59" i="13"/>
  <c r="O59" i="13"/>
  <c r="N59" i="13"/>
  <c r="M59" i="13"/>
  <c r="L59" i="13"/>
  <c r="K59" i="13"/>
  <c r="J59" i="13"/>
  <c r="I59" i="13"/>
  <c r="H59" i="13"/>
  <c r="G59" i="13"/>
  <c r="F59" i="13"/>
  <c r="E59" i="13"/>
  <c r="D59" i="13"/>
  <c r="U58" i="13"/>
  <c r="T58" i="13"/>
  <c r="O58" i="13"/>
  <c r="N58" i="13"/>
  <c r="M58" i="13"/>
  <c r="L58" i="13"/>
  <c r="K58" i="13"/>
  <c r="J58" i="13"/>
  <c r="I58" i="13"/>
  <c r="H58" i="13"/>
  <c r="G58" i="13"/>
  <c r="F58" i="13"/>
  <c r="E58" i="13"/>
  <c r="D58" i="13"/>
  <c r="U57" i="13"/>
  <c r="T57" i="13"/>
  <c r="O57" i="13"/>
  <c r="N57" i="13"/>
  <c r="M57" i="13"/>
  <c r="L57" i="13"/>
  <c r="K57" i="13"/>
  <c r="J57" i="13"/>
  <c r="I57" i="13"/>
  <c r="H57" i="13"/>
  <c r="G57" i="13"/>
  <c r="F57" i="13"/>
  <c r="E57" i="13"/>
  <c r="D57" i="13"/>
  <c r="U56" i="13"/>
  <c r="T56" i="13"/>
  <c r="O56" i="13"/>
  <c r="N56" i="13"/>
  <c r="M56" i="13"/>
  <c r="L56" i="13"/>
  <c r="K56" i="13"/>
  <c r="J56" i="13"/>
  <c r="I56" i="13"/>
  <c r="H56" i="13"/>
  <c r="G56" i="13"/>
  <c r="F56" i="13"/>
  <c r="E56" i="13"/>
  <c r="D56" i="13"/>
  <c r="U55" i="13"/>
  <c r="T55" i="13"/>
  <c r="O55" i="13"/>
  <c r="N55" i="13"/>
  <c r="M55" i="13"/>
  <c r="L55" i="13"/>
  <c r="K55" i="13"/>
  <c r="J55" i="13"/>
  <c r="I55" i="13"/>
  <c r="H55" i="13"/>
  <c r="G55" i="13"/>
  <c r="F55" i="13"/>
  <c r="E55" i="13"/>
  <c r="D55" i="13"/>
  <c r="U54" i="13"/>
  <c r="T54" i="13"/>
  <c r="O54" i="13"/>
  <c r="N54" i="13"/>
  <c r="M54" i="13"/>
  <c r="L54" i="13"/>
  <c r="K54" i="13"/>
  <c r="J54" i="13"/>
  <c r="I54" i="13"/>
  <c r="H54" i="13"/>
  <c r="G54" i="13"/>
  <c r="F54" i="13"/>
  <c r="E54" i="13"/>
  <c r="D54" i="13"/>
  <c r="U53" i="13"/>
  <c r="T53" i="13"/>
  <c r="O53" i="13"/>
  <c r="N53" i="13"/>
  <c r="M53" i="13"/>
  <c r="L53" i="13"/>
  <c r="K53" i="13"/>
  <c r="J53" i="13"/>
  <c r="I53" i="13"/>
  <c r="H53" i="13"/>
  <c r="G53" i="13"/>
  <c r="F53" i="13"/>
  <c r="E53" i="13"/>
  <c r="D53" i="13"/>
  <c r="U52" i="13"/>
  <c r="T52" i="13"/>
  <c r="O52" i="13"/>
  <c r="N52" i="13"/>
  <c r="M52" i="13"/>
  <c r="L52" i="13"/>
  <c r="K52" i="13"/>
  <c r="J52" i="13"/>
  <c r="I52" i="13"/>
  <c r="H52" i="13"/>
  <c r="G52" i="13"/>
  <c r="F52" i="13"/>
  <c r="E52" i="13"/>
  <c r="D52" i="13"/>
  <c r="U51" i="13"/>
  <c r="T51" i="13"/>
  <c r="O51" i="13"/>
  <c r="N51" i="13"/>
  <c r="M51" i="13"/>
  <c r="L51" i="13"/>
  <c r="K51" i="13"/>
  <c r="J51" i="13"/>
  <c r="I51" i="13"/>
  <c r="H51" i="13"/>
  <c r="G51" i="13"/>
  <c r="F51" i="13"/>
  <c r="E51" i="13"/>
  <c r="D51" i="13"/>
  <c r="U50" i="13"/>
  <c r="T50" i="13"/>
  <c r="O50" i="13"/>
  <c r="N50" i="13"/>
  <c r="M50" i="13"/>
  <c r="L50" i="13"/>
  <c r="K50" i="13"/>
  <c r="J50" i="13"/>
  <c r="I50" i="13"/>
  <c r="H50" i="13"/>
  <c r="G50" i="13"/>
  <c r="F50" i="13"/>
  <c r="E50" i="13"/>
  <c r="D50" i="13"/>
  <c r="U49" i="13"/>
  <c r="T49" i="13"/>
  <c r="O49" i="13"/>
  <c r="N49" i="13"/>
  <c r="M49" i="13"/>
  <c r="L49" i="13"/>
  <c r="K49" i="13"/>
  <c r="J49" i="13"/>
  <c r="I49" i="13"/>
  <c r="H49" i="13"/>
  <c r="G49" i="13"/>
  <c r="F49" i="13"/>
  <c r="E49" i="13"/>
  <c r="D49" i="13"/>
  <c r="U48" i="13"/>
  <c r="T48" i="13"/>
  <c r="O48" i="13"/>
  <c r="N48" i="13"/>
  <c r="M48" i="13"/>
  <c r="L48" i="13"/>
  <c r="K48" i="13"/>
  <c r="J48" i="13"/>
  <c r="I48" i="13"/>
  <c r="H48" i="13"/>
  <c r="G48" i="13"/>
  <c r="F48" i="13"/>
  <c r="E48" i="13"/>
  <c r="D48" i="13"/>
  <c r="U47" i="13"/>
  <c r="T47" i="13"/>
  <c r="O47" i="13"/>
  <c r="N47" i="13"/>
  <c r="M47" i="13"/>
  <c r="L47" i="13"/>
  <c r="K47" i="13"/>
  <c r="J47" i="13"/>
  <c r="I47" i="13"/>
  <c r="H47" i="13"/>
  <c r="G47" i="13"/>
  <c r="F47" i="13"/>
  <c r="E47" i="13"/>
  <c r="D47" i="13"/>
  <c r="U46" i="13"/>
  <c r="T46" i="13"/>
  <c r="O46" i="13"/>
  <c r="N46" i="13"/>
  <c r="M46" i="13"/>
  <c r="L46" i="13"/>
  <c r="K46" i="13"/>
  <c r="J46" i="13"/>
  <c r="I46" i="13"/>
  <c r="H46" i="13"/>
  <c r="G46" i="13"/>
  <c r="F46" i="13"/>
  <c r="E46" i="13"/>
  <c r="D46" i="13"/>
  <c r="U45" i="13"/>
  <c r="T45" i="13"/>
  <c r="O45" i="13"/>
  <c r="N45" i="13"/>
  <c r="M45" i="13"/>
  <c r="L45" i="13"/>
  <c r="K45" i="13"/>
  <c r="J45" i="13"/>
  <c r="I45" i="13"/>
  <c r="H45" i="13"/>
  <c r="G45" i="13"/>
  <c r="F45" i="13"/>
  <c r="E45" i="13"/>
  <c r="D45" i="13"/>
  <c r="U44" i="13"/>
  <c r="T44" i="13"/>
  <c r="O44" i="13"/>
  <c r="N44" i="13"/>
  <c r="M44" i="13"/>
  <c r="L44" i="13"/>
  <c r="K44" i="13"/>
  <c r="J44" i="13"/>
  <c r="I44" i="13"/>
  <c r="H44" i="13"/>
  <c r="G44" i="13"/>
  <c r="F44" i="13"/>
  <c r="E44" i="13"/>
  <c r="D44" i="13"/>
  <c r="U43" i="13"/>
  <c r="T43" i="13"/>
  <c r="O43" i="13"/>
  <c r="N43" i="13"/>
  <c r="M43" i="13"/>
  <c r="L43" i="13"/>
  <c r="K43" i="13"/>
  <c r="J43" i="13"/>
  <c r="I43" i="13"/>
  <c r="H43" i="13"/>
  <c r="G43" i="13"/>
  <c r="F43" i="13"/>
  <c r="E43" i="13"/>
  <c r="D43" i="13"/>
  <c r="U42" i="13"/>
  <c r="T42" i="13"/>
  <c r="O42" i="13"/>
  <c r="N42" i="13"/>
  <c r="M42" i="13"/>
  <c r="L42" i="13"/>
  <c r="K42" i="13"/>
  <c r="J42" i="13"/>
  <c r="I42" i="13"/>
  <c r="H42" i="13"/>
  <c r="G42" i="13"/>
  <c r="F42" i="13"/>
  <c r="E42" i="13"/>
  <c r="D42" i="13"/>
  <c r="U41" i="13"/>
  <c r="T41" i="13"/>
  <c r="O41" i="13"/>
  <c r="N41" i="13"/>
  <c r="M41" i="13"/>
  <c r="L41" i="13"/>
  <c r="K41" i="13"/>
  <c r="J41" i="13"/>
  <c r="I41" i="13"/>
  <c r="H41" i="13"/>
  <c r="G41" i="13"/>
  <c r="F41" i="13"/>
  <c r="E41" i="13"/>
  <c r="D41" i="13"/>
  <c r="U40" i="13"/>
  <c r="T40" i="13"/>
  <c r="O40" i="13"/>
  <c r="N40" i="13"/>
  <c r="M40" i="13"/>
  <c r="L40" i="13"/>
  <c r="K40" i="13"/>
  <c r="J40" i="13"/>
  <c r="I40" i="13"/>
  <c r="H40" i="13"/>
  <c r="G40" i="13"/>
  <c r="F40" i="13"/>
  <c r="E40" i="13"/>
  <c r="D40" i="13"/>
  <c r="U39" i="13"/>
  <c r="T39" i="13"/>
  <c r="O39" i="13"/>
  <c r="N39" i="13"/>
  <c r="M39" i="13"/>
  <c r="L39" i="13"/>
  <c r="K39" i="13"/>
  <c r="J39" i="13"/>
  <c r="I39" i="13"/>
  <c r="H39" i="13"/>
  <c r="G39" i="13"/>
  <c r="F39" i="13"/>
  <c r="E39" i="13"/>
  <c r="D39" i="13"/>
  <c r="U38" i="13"/>
  <c r="T38" i="13"/>
  <c r="O38" i="13"/>
  <c r="N38" i="13"/>
  <c r="M38" i="13"/>
  <c r="L38" i="13"/>
  <c r="K38" i="13"/>
  <c r="J38" i="13"/>
  <c r="I38" i="13"/>
  <c r="H38" i="13"/>
  <c r="G38" i="13"/>
  <c r="F38" i="13"/>
  <c r="E38" i="13"/>
  <c r="D38" i="13"/>
  <c r="U37" i="13"/>
  <c r="T37" i="13"/>
  <c r="O37" i="13"/>
  <c r="N37" i="13"/>
  <c r="M37" i="13"/>
  <c r="L37" i="13"/>
  <c r="K37" i="13"/>
  <c r="J37" i="13"/>
  <c r="I37" i="13"/>
  <c r="H37" i="13"/>
  <c r="G37" i="13"/>
  <c r="F37" i="13"/>
  <c r="E37" i="13"/>
  <c r="D37" i="13"/>
  <c r="U36" i="13"/>
  <c r="T36" i="13"/>
  <c r="O36" i="13"/>
  <c r="N36" i="13"/>
  <c r="M36" i="13"/>
  <c r="L36" i="13"/>
  <c r="K36" i="13"/>
  <c r="J36" i="13"/>
  <c r="I36" i="13"/>
  <c r="H36" i="13"/>
  <c r="G36" i="13"/>
  <c r="F36" i="13"/>
  <c r="E36" i="13"/>
  <c r="D36" i="13"/>
  <c r="U35" i="13"/>
  <c r="T35" i="13"/>
  <c r="O35" i="13"/>
  <c r="N35" i="13"/>
  <c r="M35" i="13"/>
  <c r="L35" i="13"/>
  <c r="K35" i="13"/>
  <c r="J35" i="13"/>
  <c r="I35" i="13"/>
  <c r="H35" i="13"/>
  <c r="G35" i="13"/>
  <c r="F35" i="13"/>
  <c r="E35" i="13"/>
  <c r="D35" i="13"/>
  <c r="U34" i="13"/>
  <c r="T34" i="13"/>
  <c r="O34" i="13"/>
  <c r="N34" i="13"/>
  <c r="M34" i="13"/>
  <c r="L34" i="13"/>
  <c r="K34" i="13"/>
  <c r="J34" i="13"/>
  <c r="I34" i="13"/>
  <c r="H34" i="13"/>
  <c r="G34" i="13"/>
  <c r="F34" i="13"/>
  <c r="E34" i="13"/>
  <c r="D34" i="13"/>
  <c r="O33" i="13"/>
  <c r="N33" i="13"/>
  <c r="M33" i="13"/>
  <c r="L33" i="13"/>
  <c r="K33" i="13"/>
  <c r="J33" i="13"/>
  <c r="I33" i="13"/>
  <c r="H33" i="13"/>
  <c r="G33" i="13"/>
  <c r="F33" i="13"/>
  <c r="E33" i="13"/>
  <c r="D33" i="13"/>
  <c r="U32" i="13"/>
  <c r="T32" i="13"/>
  <c r="O32" i="13"/>
  <c r="N32" i="13"/>
  <c r="M32" i="13"/>
  <c r="L32" i="13"/>
  <c r="K32" i="13"/>
  <c r="J32" i="13"/>
  <c r="I32" i="13"/>
  <c r="H32" i="13"/>
  <c r="G32" i="13"/>
  <c r="F32" i="13"/>
  <c r="E32" i="13"/>
  <c r="D32" i="13"/>
  <c r="U31" i="13"/>
  <c r="T31" i="13"/>
  <c r="O31" i="13"/>
  <c r="N31" i="13"/>
  <c r="M31" i="13"/>
  <c r="L31" i="13"/>
  <c r="K31" i="13"/>
  <c r="J31" i="13"/>
  <c r="I31" i="13"/>
  <c r="H31" i="13"/>
  <c r="G31" i="13"/>
  <c r="F31" i="13"/>
  <c r="E31" i="13"/>
  <c r="D31" i="13"/>
  <c r="U30" i="13"/>
  <c r="T30" i="13"/>
  <c r="O30" i="13"/>
  <c r="N30" i="13"/>
  <c r="M30" i="13"/>
  <c r="L30" i="13"/>
  <c r="K30" i="13"/>
  <c r="J30" i="13"/>
  <c r="I30" i="13"/>
  <c r="H30" i="13"/>
  <c r="H106" i="13" s="1"/>
  <c r="H107" i="13" s="1"/>
  <c r="G30" i="13"/>
  <c r="F30" i="13"/>
  <c r="E30" i="13"/>
  <c r="D30" i="13"/>
  <c r="S29" i="13"/>
  <c r="R29" i="13"/>
  <c r="S28" i="13"/>
  <c r="R28" i="13"/>
  <c r="U27" i="13"/>
  <c r="T27" i="13"/>
  <c r="O27" i="13"/>
  <c r="N27" i="13"/>
  <c r="M27" i="13"/>
  <c r="L27" i="13"/>
  <c r="K27" i="13"/>
  <c r="J27" i="13"/>
  <c r="I27" i="13"/>
  <c r="H27" i="13"/>
  <c r="G27" i="13"/>
  <c r="F27" i="13"/>
  <c r="E27" i="13"/>
  <c r="D27" i="13"/>
  <c r="U26" i="13"/>
  <c r="T26" i="13"/>
  <c r="O26" i="13"/>
  <c r="N26" i="13"/>
  <c r="M26" i="13"/>
  <c r="L26" i="13"/>
  <c r="K26" i="13"/>
  <c r="J26" i="13"/>
  <c r="I26" i="13"/>
  <c r="H26" i="13"/>
  <c r="G26" i="13"/>
  <c r="F26" i="13"/>
  <c r="E26" i="13"/>
  <c r="D26" i="13"/>
  <c r="T25" i="13"/>
  <c r="O25" i="13"/>
  <c r="N25" i="13"/>
  <c r="M25" i="13"/>
  <c r="L25" i="13"/>
  <c r="K25" i="13"/>
  <c r="J25" i="13"/>
  <c r="I25" i="13"/>
  <c r="H25" i="13"/>
  <c r="G25" i="13"/>
  <c r="F25" i="13"/>
  <c r="E25" i="13"/>
  <c r="D25" i="13"/>
  <c r="P25" i="13" s="1"/>
  <c r="U24" i="13"/>
  <c r="T24" i="13"/>
  <c r="O24" i="13"/>
  <c r="N24" i="13"/>
  <c r="M24" i="13"/>
  <c r="L24" i="13"/>
  <c r="K24" i="13"/>
  <c r="J24" i="13"/>
  <c r="I24" i="13"/>
  <c r="H24" i="13"/>
  <c r="G24" i="13"/>
  <c r="F24" i="13"/>
  <c r="E24" i="13"/>
  <c r="D24" i="13"/>
  <c r="U23" i="13"/>
  <c r="T23" i="13"/>
  <c r="O23" i="13"/>
  <c r="N23" i="13"/>
  <c r="M23" i="13"/>
  <c r="L23" i="13"/>
  <c r="K23" i="13"/>
  <c r="J23" i="13"/>
  <c r="I23" i="13"/>
  <c r="H23" i="13"/>
  <c r="G23" i="13"/>
  <c r="F23" i="13"/>
  <c r="E23" i="13"/>
  <c r="D23" i="13"/>
  <c r="P23" i="13" s="1"/>
  <c r="O22" i="13"/>
  <c r="N22" i="13"/>
  <c r="M22" i="13"/>
  <c r="L22" i="13"/>
  <c r="K22" i="13"/>
  <c r="J22" i="13"/>
  <c r="I22" i="13"/>
  <c r="H22" i="13"/>
  <c r="G22" i="13"/>
  <c r="F22" i="13"/>
  <c r="E22" i="13"/>
  <c r="D22" i="13"/>
  <c r="P22" i="13" s="1"/>
  <c r="V22" i="13" s="1"/>
  <c r="G13" i="8" s="1"/>
  <c r="U21" i="13"/>
  <c r="T21" i="13"/>
  <c r="O21" i="13"/>
  <c r="N21" i="13"/>
  <c r="M21" i="13"/>
  <c r="L21" i="13"/>
  <c r="K21" i="13"/>
  <c r="J21" i="13"/>
  <c r="I21" i="13"/>
  <c r="H21" i="13"/>
  <c r="G21" i="13"/>
  <c r="F21" i="13"/>
  <c r="E21" i="13"/>
  <c r="D21" i="13"/>
  <c r="U20" i="13"/>
  <c r="T20" i="13"/>
  <c r="O20" i="13"/>
  <c r="N20" i="13"/>
  <c r="M20" i="13"/>
  <c r="L20" i="13"/>
  <c r="K20" i="13"/>
  <c r="J20" i="13"/>
  <c r="I20" i="13"/>
  <c r="H20" i="13"/>
  <c r="G20" i="13"/>
  <c r="F20" i="13"/>
  <c r="E20" i="13"/>
  <c r="D20" i="13"/>
  <c r="P20" i="13" s="1"/>
  <c r="U19" i="13"/>
  <c r="T19" i="13"/>
  <c r="O19" i="13"/>
  <c r="N19" i="13"/>
  <c r="M19" i="13"/>
  <c r="L19" i="13"/>
  <c r="K19" i="13"/>
  <c r="J19" i="13"/>
  <c r="I19" i="13"/>
  <c r="H19" i="13"/>
  <c r="G19" i="13"/>
  <c r="F19" i="13"/>
  <c r="E19" i="13"/>
  <c r="D19" i="13"/>
  <c r="U18" i="13"/>
  <c r="T18" i="13"/>
  <c r="O18" i="13"/>
  <c r="N18" i="13"/>
  <c r="M18" i="13"/>
  <c r="L18" i="13"/>
  <c r="K18" i="13"/>
  <c r="J18" i="13"/>
  <c r="I18" i="13"/>
  <c r="H18" i="13"/>
  <c r="G18" i="13"/>
  <c r="F18" i="13"/>
  <c r="E18" i="13"/>
  <c r="D18" i="13"/>
  <c r="P18" i="13" s="1"/>
  <c r="U17" i="13"/>
  <c r="T17" i="13"/>
  <c r="O17" i="13"/>
  <c r="N17" i="13"/>
  <c r="M17" i="13"/>
  <c r="L17" i="13"/>
  <c r="K17" i="13"/>
  <c r="J17" i="13"/>
  <c r="I17" i="13"/>
  <c r="H17" i="13"/>
  <c r="G17" i="13"/>
  <c r="F17" i="13"/>
  <c r="E17" i="13"/>
  <c r="D17" i="13"/>
  <c r="U16" i="13"/>
  <c r="T16" i="13"/>
  <c r="O16" i="13"/>
  <c r="N16" i="13"/>
  <c r="M16" i="13"/>
  <c r="L16" i="13"/>
  <c r="K16" i="13"/>
  <c r="J16" i="13"/>
  <c r="I16" i="13"/>
  <c r="H16" i="13"/>
  <c r="G16" i="13"/>
  <c r="F16" i="13"/>
  <c r="E16" i="13"/>
  <c r="D16" i="13"/>
  <c r="P16" i="13" s="1"/>
  <c r="V16" i="13" s="1"/>
  <c r="U15" i="13"/>
  <c r="T15" i="13"/>
  <c r="O15" i="13"/>
  <c r="N15" i="13"/>
  <c r="M15" i="13"/>
  <c r="L15" i="13"/>
  <c r="K15" i="13"/>
  <c r="J15" i="13"/>
  <c r="I15" i="13"/>
  <c r="H15" i="13"/>
  <c r="G15" i="13"/>
  <c r="F15" i="13"/>
  <c r="E15" i="13"/>
  <c r="D15" i="13"/>
  <c r="U14" i="13"/>
  <c r="T14" i="13"/>
  <c r="O14" i="13"/>
  <c r="N14" i="13"/>
  <c r="M14" i="13"/>
  <c r="L14" i="13"/>
  <c r="K14" i="13"/>
  <c r="J14" i="13"/>
  <c r="I14" i="13"/>
  <c r="H14" i="13"/>
  <c r="G14" i="13"/>
  <c r="F14" i="13"/>
  <c r="E14" i="13"/>
  <c r="D14" i="13"/>
  <c r="P14" i="13" s="1"/>
  <c r="U13" i="13"/>
  <c r="T13" i="13"/>
  <c r="O13" i="13"/>
  <c r="N13" i="13"/>
  <c r="M13" i="13"/>
  <c r="L13" i="13"/>
  <c r="K13" i="13"/>
  <c r="J13" i="13"/>
  <c r="I13" i="13"/>
  <c r="H13" i="13"/>
  <c r="G13" i="13"/>
  <c r="F13" i="13"/>
  <c r="E13" i="13"/>
  <c r="D13" i="13"/>
  <c r="U12" i="13"/>
  <c r="T12" i="13"/>
  <c r="O12" i="13"/>
  <c r="N12" i="13"/>
  <c r="M12" i="13"/>
  <c r="L12" i="13"/>
  <c r="K12" i="13"/>
  <c r="J12" i="13"/>
  <c r="I12" i="13"/>
  <c r="H12" i="13"/>
  <c r="G12" i="13"/>
  <c r="F12" i="13"/>
  <c r="E12" i="13"/>
  <c r="D12" i="13"/>
  <c r="U11" i="13"/>
  <c r="T11" i="13"/>
  <c r="O11" i="13"/>
  <c r="N11" i="13"/>
  <c r="M11" i="13"/>
  <c r="L11" i="13"/>
  <c r="K11" i="13"/>
  <c r="J11" i="13"/>
  <c r="I11" i="13"/>
  <c r="H11" i="13"/>
  <c r="G11" i="13"/>
  <c r="F11" i="13"/>
  <c r="E11" i="13"/>
  <c r="D11" i="13"/>
  <c r="U10" i="13"/>
  <c r="T10" i="13"/>
  <c r="O10" i="13"/>
  <c r="N10" i="13"/>
  <c r="M10" i="13"/>
  <c r="L10" i="13"/>
  <c r="K10" i="13"/>
  <c r="J10" i="13"/>
  <c r="I10" i="13"/>
  <c r="H10" i="13"/>
  <c r="G10" i="13"/>
  <c r="F10" i="13"/>
  <c r="E10" i="13"/>
  <c r="D10" i="13"/>
  <c r="P10" i="13" s="1"/>
  <c r="U9" i="13"/>
  <c r="T9" i="13"/>
  <c r="O9" i="13"/>
  <c r="N9" i="13"/>
  <c r="M9" i="13"/>
  <c r="L9" i="13"/>
  <c r="K9" i="13"/>
  <c r="J9" i="13"/>
  <c r="I9" i="13"/>
  <c r="H9" i="13"/>
  <c r="G9" i="13"/>
  <c r="F9" i="13"/>
  <c r="E9" i="13"/>
  <c r="D9" i="13"/>
  <c r="U8" i="13"/>
  <c r="T8" i="13"/>
  <c r="O8" i="13"/>
  <c r="N8" i="13"/>
  <c r="M8" i="13"/>
  <c r="L8" i="13"/>
  <c r="K8" i="13"/>
  <c r="J8" i="13"/>
  <c r="I8" i="13"/>
  <c r="H8" i="13"/>
  <c r="G8" i="13"/>
  <c r="F8" i="13"/>
  <c r="E8" i="13"/>
  <c r="D8" i="13"/>
  <c r="U7" i="13"/>
  <c r="T7" i="13"/>
  <c r="O7" i="13"/>
  <c r="N7" i="13"/>
  <c r="M7" i="13"/>
  <c r="L7" i="13"/>
  <c r="K7" i="13"/>
  <c r="J7" i="13"/>
  <c r="I7" i="13"/>
  <c r="H7" i="13"/>
  <c r="G7" i="13"/>
  <c r="F7" i="13"/>
  <c r="E7" i="13"/>
  <c r="D7" i="13"/>
  <c r="U6" i="13"/>
  <c r="T6" i="13"/>
  <c r="O6" i="13"/>
  <c r="N6" i="13"/>
  <c r="M6" i="13"/>
  <c r="L6" i="13"/>
  <c r="K6" i="13"/>
  <c r="J6" i="13"/>
  <c r="I6" i="13"/>
  <c r="H6" i="13"/>
  <c r="G6" i="13"/>
  <c r="F6" i="13"/>
  <c r="E6" i="13"/>
  <c r="D6" i="13"/>
  <c r="P6" i="13" s="1"/>
  <c r="U5" i="13"/>
  <c r="T5" i="13"/>
  <c r="O5" i="13"/>
  <c r="N5" i="13"/>
  <c r="M5" i="13"/>
  <c r="L5" i="13"/>
  <c r="K5" i="13"/>
  <c r="J5" i="13"/>
  <c r="I5" i="13"/>
  <c r="H5" i="13"/>
  <c r="G5" i="13"/>
  <c r="F5" i="13"/>
  <c r="E5" i="13"/>
  <c r="D5" i="13"/>
  <c r="U4" i="13"/>
  <c r="T4" i="13"/>
  <c r="O4" i="13"/>
  <c r="N4" i="13"/>
  <c r="M4" i="13"/>
  <c r="L4" i="13"/>
  <c r="L28" i="13" s="1"/>
  <c r="K4" i="13"/>
  <c r="J4" i="13"/>
  <c r="I4" i="13"/>
  <c r="H4" i="13"/>
  <c r="H28" i="13" s="1"/>
  <c r="G4" i="13"/>
  <c r="F4" i="13"/>
  <c r="E4" i="13"/>
  <c r="D4" i="13"/>
  <c r="D28" i="13" s="1"/>
  <c r="E22" i="18"/>
  <c r="C21" i="18"/>
  <c r="E21" i="18" s="1"/>
  <c r="C20" i="18"/>
  <c r="B20" i="18"/>
  <c r="C19" i="18"/>
  <c r="B19" i="18"/>
  <c r="E19" i="18" s="1"/>
  <c r="C18" i="18"/>
  <c r="B18" i="18"/>
  <c r="C17" i="18"/>
  <c r="B17" i="18"/>
  <c r="E17" i="18" s="1"/>
  <c r="E16" i="18"/>
  <c r="D16" i="18"/>
  <c r="C15" i="18"/>
  <c r="B15" i="18"/>
  <c r="E14" i="18"/>
  <c r="C14" i="18"/>
  <c r="D13" i="18"/>
  <c r="E13" i="18" s="1"/>
  <c r="E12" i="18"/>
  <c r="D12" i="18"/>
  <c r="D11" i="18"/>
  <c r="E11" i="18" s="1"/>
  <c r="C10" i="18"/>
  <c r="E10" i="18" s="1"/>
  <c r="C9" i="18"/>
  <c r="B9" i="18"/>
  <c r="E9" i="18" s="1"/>
  <c r="E8" i="18"/>
  <c r="D8" i="18"/>
  <c r="D7" i="18"/>
  <c r="D23" i="18" s="1"/>
  <c r="E6" i="18"/>
  <c r="B6" i="18"/>
  <c r="C5" i="18"/>
  <c r="E5" i="18" s="1"/>
  <c r="E4" i="18"/>
  <c r="B3" i="18"/>
  <c r="E3" i="18" s="1"/>
  <c r="C41" i="16"/>
  <c r="G41" i="16" s="1"/>
  <c r="C40" i="16"/>
  <c r="G40" i="16" s="1"/>
  <c r="G39" i="16"/>
  <c r="C39" i="16"/>
  <c r="C38" i="16"/>
  <c r="G38" i="16" s="1"/>
  <c r="C37" i="16"/>
  <c r="G37" i="16" s="1"/>
  <c r="C36" i="16"/>
  <c r="G36" i="16" s="1"/>
  <c r="C35" i="16"/>
  <c r="G35" i="16" s="1"/>
  <c r="C34" i="16"/>
  <c r="G34" i="16" s="1"/>
  <c r="C33" i="16"/>
  <c r="G33" i="16" s="1"/>
  <c r="C32" i="16"/>
  <c r="G32" i="16" s="1"/>
  <c r="B31" i="16"/>
  <c r="G31" i="16" s="1"/>
  <c r="B30" i="16"/>
  <c r="G30" i="16" s="1"/>
  <c r="B29" i="16"/>
  <c r="G29" i="16" s="1"/>
  <c r="B28" i="16"/>
  <c r="G28" i="16" s="1"/>
  <c r="B27" i="16"/>
  <c r="G27" i="16" s="1"/>
  <c r="B26" i="16"/>
  <c r="G26" i="16" s="1"/>
  <c r="B25" i="16"/>
  <c r="G25" i="16" s="1"/>
  <c r="B24" i="16"/>
  <c r="G24" i="16" s="1"/>
  <c r="B23" i="16"/>
  <c r="G23" i="16" s="1"/>
  <c r="B22" i="16"/>
  <c r="G22" i="16" s="1"/>
  <c r="B21" i="16"/>
  <c r="G21" i="16" s="1"/>
  <c r="B20" i="16"/>
  <c r="G20" i="16" s="1"/>
  <c r="F19" i="16"/>
  <c r="E19" i="16"/>
  <c r="D19" i="16"/>
  <c r="F18" i="16"/>
  <c r="E18" i="16"/>
  <c r="D18" i="16"/>
  <c r="G18" i="16" s="1"/>
  <c r="F17" i="16"/>
  <c r="E17" i="16"/>
  <c r="D17" i="16"/>
  <c r="G17" i="16" s="1"/>
  <c r="F16" i="16"/>
  <c r="E16" i="16"/>
  <c r="D16" i="16"/>
  <c r="F15" i="16"/>
  <c r="E15" i="16"/>
  <c r="D15" i="16"/>
  <c r="F14" i="16"/>
  <c r="E14" i="16"/>
  <c r="D14" i="16"/>
  <c r="G14" i="16" s="1"/>
  <c r="F13" i="16"/>
  <c r="D13" i="16"/>
  <c r="G13" i="16" s="1"/>
  <c r="F12" i="16"/>
  <c r="G12" i="16" s="1"/>
  <c r="E12" i="16"/>
  <c r="F11" i="16"/>
  <c r="E11" i="16"/>
  <c r="C11" i="16"/>
  <c r="F10" i="16"/>
  <c r="E10" i="16"/>
  <c r="D10" i="16"/>
  <c r="G10" i="16" s="1"/>
  <c r="F9" i="16"/>
  <c r="E9" i="16"/>
  <c r="D9" i="16"/>
  <c r="F8" i="16"/>
  <c r="E8" i="16"/>
  <c r="D8" i="16"/>
  <c r="F7" i="16"/>
  <c r="E7" i="16"/>
  <c r="D7" i="16"/>
  <c r="G7" i="16" s="1"/>
  <c r="F6" i="16"/>
  <c r="E6" i="16"/>
  <c r="D6" i="16"/>
  <c r="G6" i="16" s="1"/>
  <c r="E5" i="16"/>
  <c r="G5" i="16" s="1"/>
  <c r="F4" i="16"/>
  <c r="D4" i="16"/>
  <c r="F3" i="16"/>
  <c r="G3" i="16" s="1"/>
  <c r="E3" i="16"/>
  <c r="F2" i="16"/>
  <c r="C14" i="15"/>
  <c r="G14" i="15" s="1"/>
  <c r="G13" i="15"/>
  <c r="H13" i="15" s="1"/>
  <c r="F13" i="15"/>
  <c r="C12" i="15"/>
  <c r="G12" i="15" s="1"/>
  <c r="C11" i="15"/>
  <c r="G11" i="15" s="1"/>
  <c r="H11" i="15" s="1"/>
  <c r="B10" i="15"/>
  <c r="G10" i="15" s="1"/>
  <c r="H10" i="15" s="1"/>
  <c r="F9" i="15"/>
  <c r="E9" i="15"/>
  <c r="D9" i="15"/>
  <c r="C8" i="15"/>
  <c r="G8" i="15" s="1"/>
  <c r="H8" i="15" s="1"/>
  <c r="B7" i="15"/>
  <c r="G7" i="15" s="1"/>
  <c r="H7" i="15" s="1"/>
  <c r="F6" i="15"/>
  <c r="E6" i="15"/>
  <c r="D6" i="15"/>
  <c r="G6" i="15" s="1"/>
  <c r="H6" i="15" s="1"/>
  <c r="C5" i="15"/>
  <c r="G5" i="15" s="1"/>
  <c r="H5" i="15" s="1"/>
  <c r="B4" i="15"/>
  <c r="G4" i="15" s="1"/>
  <c r="H4" i="15" s="1"/>
  <c r="F3" i="15"/>
  <c r="F15" i="15" s="1"/>
  <c r="E3" i="15"/>
  <c r="D3" i="15"/>
  <c r="F2" i="15"/>
  <c r="E2" i="15"/>
  <c r="E15" i="15" s="1"/>
  <c r="F21" i="8" s="1"/>
  <c r="D2" i="15"/>
  <c r="C2" i="15"/>
  <c r="B2" i="15"/>
  <c r="G30" i="8"/>
  <c r="D30" i="8"/>
  <c r="C30" i="8"/>
  <c r="G29" i="8"/>
  <c r="F29" i="8"/>
  <c r="D29" i="8"/>
  <c r="G28" i="8"/>
  <c r="F28" i="8"/>
  <c r="D28" i="8"/>
  <c r="C28" i="8"/>
  <c r="G25" i="8"/>
  <c r="F25" i="8"/>
  <c r="D25" i="8"/>
  <c r="C25" i="8"/>
  <c r="G23" i="8"/>
  <c r="F23" i="8"/>
  <c r="D23" i="8"/>
  <c r="C23" i="8"/>
  <c r="G22" i="8"/>
  <c r="F22" i="8"/>
  <c r="D22" i="8"/>
  <c r="C22" i="8"/>
  <c r="C14" i="8"/>
  <c r="P119" i="22"/>
  <c r="T117" i="22"/>
  <c r="T114" i="22"/>
  <c r="O109" i="22"/>
  <c r="N109" i="22"/>
  <c r="M109" i="22"/>
  <c r="L109" i="22"/>
  <c r="K109" i="22"/>
  <c r="J109" i="22"/>
  <c r="I109" i="22"/>
  <c r="H109" i="22"/>
  <c r="G109" i="22"/>
  <c r="F109" i="22"/>
  <c r="E109" i="22"/>
  <c r="D109" i="22"/>
  <c r="O108" i="22"/>
  <c r="N108" i="22"/>
  <c r="M108" i="22"/>
  <c r="L108" i="22"/>
  <c r="K108" i="22"/>
  <c r="J108" i="22"/>
  <c r="I108" i="22"/>
  <c r="H108" i="22"/>
  <c r="G108" i="22"/>
  <c r="F108" i="22"/>
  <c r="E108" i="22"/>
  <c r="D108" i="22"/>
  <c r="P107" i="22"/>
  <c r="P106" i="22"/>
  <c r="O105" i="22"/>
  <c r="N105" i="22"/>
  <c r="M105" i="22"/>
  <c r="L105" i="22"/>
  <c r="K105" i="22"/>
  <c r="J105" i="22"/>
  <c r="I105" i="22"/>
  <c r="H105" i="22"/>
  <c r="G105" i="22"/>
  <c r="F105" i="22"/>
  <c r="E105" i="22"/>
  <c r="D105" i="22"/>
  <c r="P104" i="22"/>
  <c r="O104" i="22"/>
  <c r="P103" i="22"/>
  <c r="V102" i="22"/>
  <c r="U102" i="22"/>
  <c r="O102" i="22"/>
  <c r="N102" i="22"/>
  <c r="M102" i="22"/>
  <c r="L102" i="22"/>
  <c r="K102" i="22"/>
  <c r="J102" i="22"/>
  <c r="I102" i="22"/>
  <c r="H102" i="22"/>
  <c r="G102" i="22"/>
  <c r="F102" i="22"/>
  <c r="E102" i="22"/>
  <c r="D102" i="22"/>
  <c r="V101" i="22"/>
  <c r="U101" i="22"/>
  <c r="O101" i="22"/>
  <c r="N101" i="22"/>
  <c r="M101" i="22"/>
  <c r="L101" i="22"/>
  <c r="K101" i="22"/>
  <c r="J101" i="22"/>
  <c r="I101" i="22"/>
  <c r="H101" i="22"/>
  <c r="G101" i="22"/>
  <c r="F101" i="22"/>
  <c r="E101" i="22"/>
  <c r="D101" i="22"/>
  <c r="V100" i="22"/>
  <c r="U100" i="22"/>
  <c r="O100" i="22"/>
  <c r="N100" i="22"/>
  <c r="M100" i="22"/>
  <c r="L100" i="22"/>
  <c r="K100" i="22"/>
  <c r="J100" i="22"/>
  <c r="I100" i="22"/>
  <c r="H100" i="22"/>
  <c r="G100" i="22"/>
  <c r="F100" i="22"/>
  <c r="E100" i="22"/>
  <c r="D100" i="22"/>
  <c r="V99" i="22"/>
  <c r="U99" i="22"/>
  <c r="O99" i="22"/>
  <c r="N99" i="22"/>
  <c r="M99" i="22"/>
  <c r="L99" i="22"/>
  <c r="K99" i="22"/>
  <c r="J99" i="22"/>
  <c r="I99" i="22"/>
  <c r="H99" i="22"/>
  <c r="G99" i="22"/>
  <c r="F99" i="22"/>
  <c r="E99" i="22"/>
  <c r="D99" i="22"/>
  <c r="V98" i="22"/>
  <c r="U98" i="22"/>
  <c r="O98" i="22"/>
  <c r="N98" i="22"/>
  <c r="M98" i="22"/>
  <c r="L98" i="22"/>
  <c r="K98" i="22"/>
  <c r="J98" i="22"/>
  <c r="I98" i="22"/>
  <c r="H98" i="22"/>
  <c r="G98" i="22"/>
  <c r="F98" i="22"/>
  <c r="E98" i="22"/>
  <c r="D98" i="22"/>
  <c r="V97" i="22"/>
  <c r="U97" i="22"/>
  <c r="O97" i="22"/>
  <c r="N97" i="22"/>
  <c r="M97" i="22"/>
  <c r="L97" i="22"/>
  <c r="K97" i="22"/>
  <c r="J97" i="22"/>
  <c r="I97" i="22"/>
  <c r="H97" i="22"/>
  <c r="G97" i="22"/>
  <c r="F97" i="22"/>
  <c r="E97" i="22"/>
  <c r="D97" i="22"/>
  <c r="V96" i="22"/>
  <c r="U96" i="22"/>
  <c r="O96" i="22"/>
  <c r="N96" i="22"/>
  <c r="M96" i="22"/>
  <c r="L96" i="22"/>
  <c r="K96" i="22"/>
  <c r="J96" i="22"/>
  <c r="I96" i="22"/>
  <c r="H96" i="22"/>
  <c r="G96" i="22"/>
  <c r="F96" i="22"/>
  <c r="E96" i="22"/>
  <c r="D96" i="22"/>
  <c r="V95" i="22"/>
  <c r="U95" i="22"/>
  <c r="O95" i="22"/>
  <c r="N95" i="22"/>
  <c r="M95" i="22"/>
  <c r="L95" i="22"/>
  <c r="K95" i="22"/>
  <c r="J95" i="22"/>
  <c r="I95" i="22"/>
  <c r="H95" i="22"/>
  <c r="G95" i="22"/>
  <c r="F95" i="22"/>
  <c r="E95" i="22"/>
  <c r="D95" i="22"/>
  <c r="V94" i="22"/>
  <c r="U94" i="22"/>
  <c r="O94" i="22"/>
  <c r="N94" i="22"/>
  <c r="M94" i="22"/>
  <c r="L94" i="22"/>
  <c r="K94" i="22"/>
  <c r="J94" i="22"/>
  <c r="I94" i="22"/>
  <c r="H94" i="22"/>
  <c r="G94" i="22"/>
  <c r="F94" i="22"/>
  <c r="E94" i="22"/>
  <c r="D94" i="22"/>
  <c r="V93" i="22"/>
  <c r="U93" i="22"/>
  <c r="O93" i="22"/>
  <c r="N93" i="22"/>
  <c r="M93" i="22"/>
  <c r="L93" i="22"/>
  <c r="K93" i="22"/>
  <c r="J93" i="22"/>
  <c r="I93" i="22"/>
  <c r="H93" i="22"/>
  <c r="G93" i="22"/>
  <c r="F93" i="22"/>
  <c r="E93" i="22"/>
  <c r="D93" i="22"/>
  <c r="V92" i="22"/>
  <c r="U92" i="22"/>
  <c r="O92" i="22"/>
  <c r="N92" i="22"/>
  <c r="M92" i="22"/>
  <c r="L92" i="22"/>
  <c r="K92" i="22"/>
  <c r="J92" i="22"/>
  <c r="I92" i="22"/>
  <c r="H92" i="22"/>
  <c r="G92" i="22"/>
  <c r="F92" i="22"/>
  <c r="E92" i="22"/>
  <c r="D92" i="22"/>
  <c r="V91" i="22"/>
  <c r="U91" i="22"/>
  <c r="O91" i="22"/>
  <c r="N91" i="22"/>
  <c r="M91" i="22"/>
  <c r="L91" i="22"/>
  <c r="K91" i="22"/>
  <c r="J91" i="22"/>
  <c r="I91" i="22"/>
  <c r="H91" i="22"/>
  <c r="G91" i="22"/>
  <c r="F91" i="22"/>
  <c r="E91" i="22"/>
  <c r="D91" i="22"/>
  <c r="V90" i="22"/>
  <c r="U90" i="22"/>
  <c r="O90" i="22"/>
  <c r="N90" i="22"/>
  <c r="M90" i="22"/>
  <c r="L90" i="22"/>
  <c r="K90" i="22"/>
  <c r="J90" i="22"/>
  <c r="I90" i="22"/>
  <c r="H90" i="22"/>
  <c r="G90" i="22"/>
  <c r="F90" i="22"/>
  <c r="E90" i="22"/>
  <c r="D90" i="22"/>
  <c r="V89" i="22"/>
  <c r="U89" i="22"/>
  <c r="O89" i="22"/>
  <c r="N89" i="22"/>
  <c r="M89" i="22"/>
  <c r="L89" i="22"/>
  <c r="K89" i="22"/>
  <c r="J89" i="22"/>
  <c r="I89" i="22"/>
  <c r="H89" i="22"/>
  <c r="G89" i="22"/>
  <c r="F89" i="22"/>
  <c r="E89" i="22"/>
  <c r="D89" i="22"/>
  <c r="V88" i="22"/>
  <c r="U88" i="22"/>
  <c r="O88" i="22"/>
  <c r="N88" i="22"/>
  <c r="M88" i="22"/>
  <c r="L88" i="22"/>
  <c r="K88" i="22"/>
  <c r="J88" i="22"/>
  <c r="I88" i="22"/>
  <c r="H88" i="22"/>
  <c r="G88" i="22"/>
  <c r="F88" i="22"/>
  <c r="E88" i="22"/>
  <c r="D88" i="22"/>
  <c r="V87" i="22"/>
  <c r="U87" i="22"/>
  <c r="O87" i="22"/>
  <c r="N87" i="22"/>
  <c r="M87" i="22"/>
  <c r="L87" i="22"/>
  <c r="K87" i="22"/>
  <c r="J87" i="22"/>
  <c r="I87" i="22"/>
  <c r="H87" i="22"/>
  <c r="G87" i="22"/>
  <c r="F87" i="22"/>
  <c r="E87" i="22"/>
  <c r="D87" i="22"/>
  <c r="V86" i="22"/>
  <c r="U86" i="22"/>
  <c r="O86" i="22"/>
  <c r="N86" i="22"/>
  <c r="M86" i="22"/>
  <c r="L86" i="22"/>
  <c r="K86" i="22"/>
  <c r="J86" i="22"/>
  <c r="I86" i="22"/>
  <c r="H86" i="22"/>
  <c r="G86" i="22"/>
  <c r="F86" i="22"/>
  <c r="E86" i="22"/>
  <c r="D86" i="22"/>
  <c r="V85" i="22"/>
  <c r="U85" i="22"/>
  <c r="O85" i="22"/>
  <c r="N85" i="22"/>
  <c r="M85" i="22"/>
  <c r="L85" i="22"/>
  <c r="K85" i="22"/>
  <c r="J85" i="22"/>
  <c r="I85" i="22"/>
  <c r="H85" i="22"/>
  <c r="G85" i="22"/>
  <c r="F85" i="22"/>
  <c r="E85" i="22"/>
  <c r="D85" i="22"/>
  <c r="V84" i="22"/>
  <c r="U84" i="22"/>
  <c r="O84" i="22"/>
  <c r="N84" i="22"/>
  <c r="M84" i="22"/>
  <c r="L84" i="22"/>
  <c r="K84" i="22"/>
  <c r="J84" i="22"/>
  <c r="I84" i="22"/>
  <c r="H84" i="22"/>
  <c r="G84" i="22"/>
  <c r="F84" i="22"/>
  <c r="E84" i="22"/>
  <c r="D84" i="22"/>
  <c r="V83" i="22"/>
  <c r="U83" i="22"/>
  <c r="O83" i="22"/>
  <c r="N83" i="22"/>
  <c r="M83" i="22"/>
  <c r="L83" i="22"/>
  <c r="K83" i="22"/>
  <c r="J83" i="22"/>
  <c r="I83" i="22"/>
  <c r="H83" i="22"/>
  <c r="G83" i="22"/>
  <c r="F83" i="22"/>
  <c r="E83" i="22"/>
  <c r="D83" i="22"/>
  <c r="V82" i="22"/>
  <c r="U82" i="22"/>
  <c r="O82" i="22"/>
  <c r="N82" i="22"/>
  <c r="M82" i="22"/>
  <c r="L82" i="22"/>
  <c r="K82" i="22"/>
  <c r="J82" i="22"/>
  <c r="I82" i="22"/>
  <c r="H82" i="22"/>
  <c r="G82" i="22"/>
  <c r="F82" i="22"/>
  <c r="E82" i="22"/>
  <c r="D82" i="22"/>
  <c r="V81" i="22"/>
  <c r="U81" i="22"/>
  <c r="O81" i="22"/>
  <c r="N81" i="22"/>
  <c r="M81" i="22"/>
  <c r="L81" i="22"/>
  <c r="K81" i="22"/>
  <c r="J81" i="22"/>
  <c r="I81" i="22"/>
  <c r="H81" i="22"/>
  <c r="G81" i="22"/>
  <c r="F81" i="22"/>
  <c r="E81" i="22"/>
  <c r="D81" i="22"/>
  <c r="V80" i="22"/>
  <c r="U80" i="22"/>
  <c r="O80" i="22"/>
  <c r="N80" i="22"/>
  <c r="M80" i="22"/>
  <c r="L80" i="22"/>
  <c r="K80" i="22"/>
  <c r="J80" i="22"/>
  <c r="I80" i="22"/>
  <c r="H80" i="22"/>
  <c r="G80" i="22"/>
  <c r="F80" i="22"/>
  <c r="E80" i="22"/>
  <c r="D80" i="22"/>
  <c r="V79" i="22"/>
  <c r="U79" i="22"/>
  <c r="O79" i="22"/>
  <c r="N79" i="22"/>
  <c r="M79" i="22"/>
  <c r="L79" i="22"/>
  <c r="K79" i="22"/>
  <c r="J79" i="22"/>
  <c r="I79" i="22"/>
  <c r="H79" i="22"/>
  <c r="G79" i="22"/>
  <c r="F79" i="22"/>
  <c r="E79" i="22"/>
  <c r="D79" i="22"/>
  <c r="V78" i="22"/>
  <c r="U78" i="22"/>
  <c r="O78" i="22"/>
  <c r="N78" i="22"/>
  <c r="M78" i="22"/>
  <c r="L78" i="22"/>
  <c r="K78" i="22"/>
  <c r="J78" i="22"/>
  <c r="I78" i="22"/>
  <c r="H78" i="22"/>
  <c r="G78" i="22"/>
  <c r="F78" i="22"/>
  <c r="E78" i="22"/>
  <c r="D78" i="22"/>
  <c r="V77" i="22"/>
  <c r="U77" i="22"/>
  <c r="O77" i="22"/>
  <c r="N77" i="22"/>
  <c r="M77" i="22"/>
  <c r="L77" i="22"/>
  <c r="K77" i="22"/>
  <c r="J77" i="22"/>
  <c r="I77" i="22"/>
  <c r="H77" i="22"/>
  <c r="G77" i="22"/>
  <c r="F77" i="22"/>
  <c r="E77" i="22"/>
  <c r="D77" i="22"/>
  <c r="V76" i="22"/>
  <c r="U76" i="22"/>
  <c r="O76" i="22"/>
  <c r="N76" i="22"/>
  <c r="M76" i="22"/>
  <c r="L76" i="22"/>
  <c r="K76" i="22"/>
  <c r="J76" i="22"/>
  <c r="I76" i="22"/>
  <c r="H76" i="22"/>
  <c r="G76" i="22"/>
  <c r="F76" i="22"/>
  <c r="E76" i="22"/>
  <c r="D76" i="22"/>
  <c r="V75" i="22"/>
  <c r="U75" i="22"/>
  <c r="O75" i="22"/>
  <c r="N75" i="22"/>
  <c r="M75" i="22"/>
  <c r="L75" i="22"/>
  <c r="K75" i="22"/>
  <c r="J75" i="22"/>
  <c r="I75" i="22"/>
  <c r="H75" i="22"/>
  <c r="G75" i="22"/>
  <c r="F75" i="22"/>
  <c r="E75" i="22"/>
  <c r="D75" i="22"/>
  <c r="V74" i="22"/>
  <c r="U74" i="22"/>
  <c r="O74" i="22"/>
  <c r="N74" i="22"/>
  <c r="M74" i="22"/>
  <c r="L74" i="22"/>
  <c r="K74" i="22"/>
  <c r="J74" i="22"/>
  <c r="I74" i="22"/>
  <c r="H74" i="22"/>
  <c r="G74" i="22"/>
  <c r="F74" i="22"/>
  <c r="E74" i="22"/>
  <c r="D74" i="22"/>
  <c r="V73" i="22"/>
  <c r="U73" i="22"/>
  <c r="O73" i="22"/>
  <c r="N73" i="22"/>
  <c r="M73" i="22"/>
  <c r="L73" i="22"/>
  <c r="K73" i="22"/>
  <c r="J73" i="22"/>
  <c r="I73" i="22"/>
  <c r="H73" i="22"/>
  <c r="G73" i="22"/>
  <c r="F73" i="22"/>
  <c r="E73" i="22"/>
  <c r="D73" i="22"/>
  <c r="V72" i="22"/>
  <c r="U72" i="22"/>
  <c r="O72" i="22"/>
  <c r="N72" i="22"/>
  <c r="M72" i="22"/>
  <c r="L72" i="22"/>
  <c r="K72" i="22"/>
  <c r="J72" i="22"/>
  <c r="I72" i="22"/>
  <c r="H72" i="22"/>
  <c r="G72" i="22"/>
  <c r="F72" i="22"/>
  <c r="E72" i="22"/>
  <c r="D72" i="22"/>
  <c r="V71" i="22"/>
  <c r="U71" i="22"/>
  <c r="O71" i="22"/>
  <c r="N71" i="22"/>
  <c r="M71" i="22"/>
  <c r="L71" i="22"/>
  <c r="K71" i="22"/>
  <c r="J71" i="22"/>
  <c r="I71" i="22"/>
  <c r="H71" i="22"/>
  <c r="G71" i="22"/>
  <c r="F71" i="22"/>
  <c r="E71" i="22"/>
  <c r="D71" i="22"/>
  <c r="V70" i="22"/>
  <c r="U70" i="22"/>
  <c r="O70" i="22"/>
  <c r="N70" i="22"/>
  <c r="M70" i="22"/>
  <c r="L70" i="22"/>
  <c r="K70" i="22"/>
  <c r="J70" i="22"/>
  <c r="I70" i="22"/>
  <c r="H70" i="22"/>
  <c r="G70" i="22"/>
  <c r="F70" i="22"/>
  <c r="E70" i="22"/>
  <c r="D70" i="22"/>
  <c r="V69" i="22"/>
  <c r="U69" i="22"/>
  <c r="O69" i="22"/>
  <c r="N69" i="22"/>
  <c r="M69" i="22"/>
  <c r="L69" i="22"/>
  <c r="K69" i="22"/>
  <c r="J69" i="22"/>
  <c r="I69" i="22"/>
  <c r="H69" i="22"/>
  <c r="G69" i="22"/>
  <c r="F69" i="22"/>
  <c r="E69" i="22"/>
  <c r="D69" i="22"/>
  <c r="V68" i="22"/>
  <c r="U68" i="22"/>
  <c r="O68" i="22"/>
  <c r="N68" i="22"/>
  <c r="M68" i="22"/>
  <c r="L68" i="22"/>
  <c r="K68" i="22"/>
  <c r="J68" i="22"/>
  <c r="I68" i="22"/>
  <c r="H68" i="22"/>
  <c r="G68" i="22"/>
  <c r="F68" i="22"/>
  <c r="E68" i="22"/>
  <c r="D68" i="22"/>
  <c r="V67" i="22"/>
  <c r="U67" i="22"/>
  <c r="O67" i="22"/>
  <c r="N67" i="22"/>
  <c r="M67" i="22"/>
  <c r="L67" i="22"/>
  <c r="K67" i="22"/>
  <c r="J67" i="22"/>
  <c r="I67" i="22"/>
  <c r="H67" i="22"/>
  <c r="G67" i="22"/>
  <c r="F67" i="22"/>
  <c r="E67" i="22"/>
  <c r="D67" i="22"/>
  <c r="V66" i="22"/>
  <c r="U66" i="22"/>
  <c r="O66" i="22"/>
  <c r="N66" i="22"/>
  <c r="M66" i="22"/>
  <c r="L66" i="22"/>
  <c r="K66" i="22"/>
  <c r="J66" i="22"/>
  <c r="I66" i="22"/>
  <c r="H66" i="22"/>
  <c r="G66" i="22"/>
  <c r="F66" i="22"/>
  <c r="E66" i="22"/>
  <c r="D66" i="22"/>
  <c r="V65" i="22"/>
  <c r="U65" i="22"/>
  <c r="O65" i="22"/>
  <c r="N65" i="22"/>
  <c r="M65" i="22"/>
  <c r="L65" i="22"/>
  <c r="K65" i="22"/>
  <c r="J65" i="22"/>
  <c r="I65" i="22"/>
  <c r="H65" i="22"/>
  <c r="G65" i="22"/>
  <c r="F65" i="22"/>
  <c r="E65" i="22"/>
  <c r="D65" i="22"/>
  <c r="V64" i="22"/>
  <c r="U64" i="22"/>
  <c r="O64" i="22"/>
  <c r="N64" i="22"/>
  <c r="M64" i="22"/>
  <c r="L64" i="22"/>
  <c r="K64" i="22"/>
  <c r="J64" i="22"/>
  <c r="I64" i="22"/>
  <c r="H64" i="22"/>
  <c r="G64" i="22"/>
  <c r="F64" i="22"/>
  <c r="E64" i="22"/>
  <c r="D64" i="22"/>
  <c r="V63" i="22"/>
  <c r="U63" i="22"/>
  <c r="O63" i="22"/>
  <c r="N63" i="22"/>
  <c r="M63" i="22"/>
  <c r="L63" i="22"/>
  <c r="K63" i="22"/>
  <c r="J63" i="22"/>
  <c r="I63" i="22"/>
  <c r="H63" i="22"/>
  <c r="G63" i="22"/>
  <c r="F63" i="22"/>
  <c r="E63" i="22"/>
  <c r="D63" i="22"/>
  <c r="V62" i="22"/>
  <c r="U62" i="22"/>
  <c r="O62" i="22"/>
  <c r="N62" i="22"/>
  <c r="M62" i="22"/>
  <c r="L62" i="22"/>
  <c r="K62" i="22"/>
  <c r="J62" i="22"/>
  <c r="I62" i="22"/>
  <c r="H62" i="22"/>
  <c r="G62" i="22"/>
  <c r="F62" i="22"/>
  <c r="E62" i="22"/>
  <c r="D62" i="22"/>
  <c r="V61" i="22"/>
  <c r="U61" i="22"/>
  <c r="O61" i="22"/>
  <c r="N61" i="22"/>
  <c r="M61" i="22"/>
  <c r="L61" i="22"/>
  <c r="K61" i="22"/>
  <c r="J61" i="22"/>
  <c r="I61" i="22"/>
  <c r="H61" i="22"/>
  <c r="G61" i="22"/>
  <c r="F61" i="22"/>
  <c r="E61" i="22"/>
  <c r="D61" i="22"/>
  <c r="V60" i="22"/>
  <c r="U60" i="22"/>
  <c r="O60" i="22"/>
  <c r="N60" i="22"/>
  <c r="M60" i="22"/>
  <c r="L60" i="22"/>
  <c r="K60" i="22"/>
  <c r="J60" i="22"/>
  <c r="I60" i="22"/>
  <c r="H60" i="22"/>
  <c r="G60" i="22"/>
  <c r="F60" i="22"/>
  <c r="E60" i="22"/>
  <c r="D60" i="22"/>
  <c r="V59" i="22"/>
  <c r="U59" i="22"/>
  <c r="O59" i="22"/>
  <c r="N59" i="22"/>
  <c r="M59" i="22"/>
  <c r="L59" i="22"/>
  <c r="K59" i="22"/>
  <c r="J59" i="22"/>
  <c r="I59" i="22"/>
  <c r="H59" i="22"/>
  <c r="G59" i="22"/>
  <c r="F59" i="22"/>
  <c r="E59" i="22"/>
  <c r="D59" i="22"/>
  <c r="V58" i="22"/>
  <c r="U58" i="22"/>
  <c r="O58" i="22"/>
  <c r="N58" i="22"/>
  <c r="M58" i="22"/>
  <c r="L58" i="22"/>
  <c r="K58" i="22"/>
  <c r="J58" i="22"/>
  <c r="I58" i="22"/>
  <c r="H58" i="22"/>
  <c r="G58" i="22"/>
  <c r="F58" i="22"/>
  <c r="E58" i="22"/>
  <c r="D58" i="22"/>
  <c r="V57" i="22"/>
  <c r="U57" i="22"/>
  <c r="O57" i="22"/>
  <c r="N57" i="22"/>
  <c r="M57" i="22"/>
  <c r="L57" i="22"/>
  <c r="K57" i="22"/>
  <c r="J57" i="22"/>
  <c r="I57" i="22"/>
  <c r="H57" i="22"/>
  <c r="G57" i="22"/>
  <c r="F57" i="22"/>
  <c r="E57" i="22"/>
  <c r="D57" i="22"/>
  <c r="V56" i="22"/>
  <c r="U56" i="22"/>
  <c r="O56" i="22"/>
  <c r="N56" i="22"/>
  <c r="M56" i="22"/>
  <c r="L56" i="22"/>
  <c r="K56" i="22"/>
  <c r="J56" i="22"/>
  <c r="I56" i="22"/>
  <c r="H56" i="22"/>
  <c r="G56" i="22"/>
  <c r="F56" i="22"/>
  <c r="E56" i="22"/>
  <c r="D56" i="22"/>
  <c r="V55" i="22"/>
  <c r="U55" i="22"/>
  <c r="O55" i="22"/>
  <c r="N55" i="22"/>
  <c r="M55" i="22"/>
  <c r="L55" i="22"/>
  <c r="K55" i="22"/>
  <c r="J55" i="22"/>
  <c r="I55" i="22"/>
  <c r="H55" i="22"/>
  <c r="G55" i="22"/>
  <c r="F55" i="22"/>
  <c r="E55" i="22"/>
  <c r="D55" i="22"/>
  <c r="V54" i="22"/>
  <c r="U54" i="22"/>
  <c r="O54" i="22"/>
  <c r="N54" i="22"/>
  <c r="M54" i="22"/>
  <c r="L54" i="22"/>
  <c r="K54" i="22"/>
  <c r="J54" i="22"/>
  <c r="I54" i="22"/>
  <c r="H54" i="22"/>
  <c r="G54" i="22"/>
  <c r="F54" i="22"/>
  <c r="E54" i="22"/>
  <c r="D54" i="22"/>
  <c r="V53" i="22"/>
  <c r="U53" i="22"/>
  <c r="O53" i="22"/>
  <c r="N53" i="22"/>
  <c r="M53" i="22"/>
  <c r="L53" i="22"/>
  <c r="K53" i="22"/>
  <c r="J53" i="22"/>
  <c r="I53" i="22"/>
  <c r="H53" i="22"/>
  <c r="G53" i="22"/>
  <c r="F53" i="22"/>
  <c r="E53" i="22"/>
  <c r="D53" i="22"/>
  <c r="V52" i="22"/>
  <c r="U52" i="22"/>
  <c r="O52" i="22"/>
  <c r="N52" i="22"/>
  <c r="M52" i="22"/>
  <c r="L52" i="22"/>
  <c r="K52" i="22"/>
  <c r="J52" i="22"/>
  <c r="I52" i="22"/>
  <c r="H52" i="22"/>
  <c r="G52" i="22"/>
  <c r="F52" i="22"/>
  <c r="E52" i="22"/>
  <c r="D52" i="22"/>
  <c r="V51" i="22"/>
  <c r="U51" i="22"/>
  <c r="O51" i="22"/>
  <c r="N51" i="22"/>
  <c r="M51" i="22"/>
  <c r="L51" i="22"/>
  <c r="K51" i="22"/>
  <c r="J51" i="22"/>
  <c r="I51" i="22"/>
  <c r="H51" i="22"/>
  <c r="G51" i="22"/>
  <c r="F51" i="22"/>
  <c r="E51" i="22"/>
  <c r="D51" i="22"/>
  <c r="V50" i="22"/>
  <c r="U50" i="22"/>
  <c r="O50" i="22"/>
  <c r="N50" i="22"/>
  <c r="M50" i="22"/>
  <c r="L50" i="22"/>
  <c r="K50" i="22"/>
  <c r="J50" i="22"/>
  <c r="I50" i="22"/>
  <c r="H50" i="22"/>
  <c r="G50" i="22"/>
  <c r="F50" i="22"/>
  <c r="E50" i="22"/>
  <c r="D50" i="22"/>
  <c r="V49" i="22"/>
  <c r="U49" i="22"/>
  <c r="O49" i="22"/>
  <c r="N49" i="22"/>
  <c r="M49" i="22"/>
  <c r="L49" i="22"/>
  <c r="K49" i="22"/>
  <c r="J49" i="22"/>
  <c r="I49" i="22"/>
  <c r="H49" i="22"/>
  <c r="G49" i="22"/>
  <c r="F49" i="22"/>
  <c r="E49" i="22"/>
  <c r="D49" i="22"/>
  <c r="V48" i="22"/>
  <c r="U48" i="22"/>
  <c r="O48" i="22"/>
  <c r="N48" i="22"/>
  <c r="M48" i="22"/>
  <c r="L48" i="22"/>
  <c r="K48" i="22"/>
  <c r="J48" i="22"/>
  <c r="I48" i="22"/>
  <c r="H48" i="22"/>
  <c r="G48" i="22"/>
  <c r="F48" i="22"/>
  <c r="E48" i="22"/>
  <c r="D48" i="22"/>
  <c r="V47" i="22"/>
  <c r="U47" i="22"/>
  <c r="O47" i="22"/>
  <c r="N47" i="22"/>
  <c r="M47" i="22"/>
  <c r="L47" i="22"/>
  <c r="K47" i="22"/>
  <c r="J47" i="22"/>
  <c r="I47" i="22"/>
  <c r="H47" i="22"/>
  <c r="G47" i="22"/>
  <c r="F47" i="22"/>
  <c r="E47" i="22"/>
  <c r="D47" i="22"/>
  <c r="V46" i="22"/>
  <c r="U46" i="22"/>
  <c r="O46" i="22"/>
  <c r="N46" i="22"/>
  <c r="M46" i="22"/>
  <c r="L46" i="22"/>
  <c r="K46" i="22"/>
  <c r="J46" i="22"/>
  <c r="I46" i="22"/>
  <c r="H46" i="22"/>
  <c r="G46" i="22"/>
  <c r="F46" i="22"/>
  <c r="E46" i="22"/>
  <c r="D46" i="22"/>
  <c r="V44" i="22"/>
  <c r="U44" i="22"/>
  <c r="O44" i="22"/>
  <c r="N44" i="22"/>
  <c r="M44" i="22"/>
  <c r="L44" i="22"/>
  <c r="K44" i="22"/>
  <c r="J44" i="22"/>
  <c r="I44" i="22"/>
  <c r="H44" i="22"/>
  <c r="G44" i="22"/>
  <c r="F44" i="22"/>
  <c r="E44" i="22"/>
  <c r="D44" i="22"/>
  <c r="V43" i="22"/>
  <c r="U43" i="22"/>
  <c r="O43" i="22"/>
  <c r="N43" i="22"/>
  <c r="M43" i="22"/>
  <c r="L43" i="22"/>
  <c r="K43" i="22"/>
  <c r="J43" i="22"/>
  <c r="I43" i="22"/>
  <c r="H43" i="22"/>
  <c r="G43" i="22"/>
  <c r="F43" i="22"/>
  <c r="E43" i="22"/>
  <c r="D43" i="22"/>
  <c r="V42" i="22"/>
  <c r="U42" i="22"/>
  <c r="O42" i="22"/>
  <c r="N42" i="22"/>
  <c r="M42" i="22"/>
  <c r="L42" i="22"/>
  <c r="K42" i="22"/>
  <c r="J42" i="22"/>
  <c r="I42" i="22"/>
  <c r="H42" i="22"/>
  <c r="G42" i="22"/>
  <c r="F42" i="22"/>
  <c r="E42" i="22"/>
  <c r="D42" i="22"/>
  <c r="V41" i="22"/>
  <c r="U41" i="22"/>
  <c r="O41" i="22"/>
  <c r="N41" i="22"/>
  <c r="M41" i="22"/>
  <c r="L41" i="22"/>
  <c r="K41" i="22"/>
  <c r="J41" i="22"/>
  <c r="I41" i="22"/>
  <c r="H41" i="22"/>
  <c r="G41" i="22"/>
  <c r="F41" i="22"/>
  <c r="E41" i="22"/>
  <c r="D41" i="22"/>
  <c r="V40" i="22"/>
  <c r="U40" i="22"/>
  <c r="O40" i="22"/>
  <c r="N40" i="22"/>
  <c r="M40" i="22"/>
  <c r="L40" i="22"/>
  <c r="K40" i="22"/>
  <c r="J40" i="22"/>
  <c r="I40" i="22"/>
  <c r="H40" i="22"/>
  <c r="G40" i="22"/>
  <c r="F40" i="22"/>
  <c r="E40" i="22"/>
  <c r="D40" i="22"/>
  <c r="V39" i="22"/>
  <c r="U39" i="22"/>
  <c r="O39" i="22"/>
  <c r="N39" i="22"/>
  <c r="M39" i="22"/>
  <c r="L39" i="22"/>
  <c r="K39" i="22"/>
  <c r="J39" i="22"/>
  <c r="I39" i="22"/>
  <c r="H39" i="22"/>
  <c r="G39" i="22"/>
  <c r="F39" i="22"/>
  <c r="E39" i="22"/>
  <c r="D39" i="22"/>
  <c r="V38" i="22"/>
  <c r="U38" i="22"/>
  <c r="O38" i="22"/>
  <c r="N38" i="22"/>
  <c r="M38" i="22"/>
  <c r="L38" i="22"/>
  <c r="K38" i="22"/>
  <c r="J38" i="22"/>
  <c r="I38" i="22"/>
  <c r="H38" i="22"/>
  <c r="G38" i="22"/>
  <c r="F38" i="22"/>
  <c r="E38" i="22"/>
  <c r="D38" i="22"/>
  <c r="V37" i="22"/>
  <c r="U37" i="22"/>
  <c r="O37" i="22"/>
  <c r="N37" i="22"/>
  <c r="M37" i="22"/>
  <c r="L37" i="22"/>
  <c r="K37" i="22"/>
  <c r="J37" i="22"/>
  <c r="I37" i="22"/>
  <c r="H37" i="22"/>
  <c r="G37" i="22"/>
  <c r="F37" i="22"/>
  <c r="E37" i="22"/>
  <c r="D37" i="22"/>
  <c r="V36" i="22"/>
  <c r="U36" i="22"/>
  <c r="O36" i="22"/>
  <c r="N36" i="22"/>
  <c r="M36" i="22"/>
  <c r="L36" i="22"/>
  <c r="K36" i="22"/>
  <c r="J36" i="22"/>
  <c r="I36" i="22"/>
  <c r="H36" i="22"/>
  <c r="G36" i="22"/>
  <c r="F36" i="22"/>
  <c r="E36" i="22"/>
  <c r="D36" i="22"/>
  <c r="T34" i="22"/>
  <c r="P32" i="22"/>
  <c r="P31" i="22"/>
  <c r="P30" i="22"/>
  <c r="P29" i="22"/>
  <c r="P28" i="22"/>
  <c r="V26" i="22"/>
  <c r="P26" i="22"/>
  <c r="O26" i="22"/>
  <c r="N26" i="22"/>
  <c r="I26" i="22"/>
  <c r="G26" i="22"/>
  <c r="E26" i="22"/>
  <c r="V25" i="22"/>
  <c r="P25" i="22"/>
  <c r="D25" i="22"/>
  <c r="V24" i="22"/>
  <c r="O24" i="22"/>
  <c r="N24" i="22"/>
  <c r="M24" i="22"/>
  <c r="L24" i="22"/>
  <c r="K24" i="22"/>
  <c r="J24" i="22"/>
  <c r="I24" i="22"/>
  <c r="H24" i="22"/>
  <c r="G24" i="22"/>
  <c r="F24" i="22"/>
  <c r="E24" i="22"/>
  <c r="D24" i="22"/>
  <c r="V23" i="22"/>
  <c r="U23" i="22"/>
  <c r="O23" i="22"/>
  <c r="N23" i="22"/>
  <c r="M23" i="22"/>
  <c r="L23" i="22"/>
  <c r="K23" i="22"/>
  <c r="J23" i="22"/>
  <c r="I23" i="22"/>
  <c r="H23" i="22"/>
  <c r="G23" i="22"/>
  <c r="F23" i="22"/>
  <c r="E23" i="22"/>
  <c r="D23" i="22"/>
  <c r="V22" i="22"/>
  <c r="U22" i="22"/>
  <c r="O22" i="22"/>
  <c r="N22" i="22"/>
  <c r="M22" i="22"/>
  <c r="L22" i="22"/>
  <c r="K22" i="22"/>
  <c r="J22" i="22"/>
  <c r="I22" i="22"/>
  <c r="H22" i="22"/>
  <c r="G22" i="22"/>
  <c r="F22" i="22"/>
  <c r="E22" i="22"/>
  <c r="D22" i="22"/>
  <c r="V21" i="22"/>
  <c r="U21" i="22"/>
  <c r="O21" i="22"/>
  <c r="N21" i="22"/>
  <c r="M21" i="22"/>
  <c r="L21" i="22"/>
  <c r="K21" i="22"/>
  <c r="J21" i="22"/>
  <c r="I21" i="22"/>
  <c r="H21" i="22"/>
  <c r="G21" i="22"/>
  <c r="F21" i="22"/>
  <c r="E21" i="22"/>
  <c r="D21" i="22"/>
  <c r="V20" i="22"/>
  <c r="U20" i="22"/>
  <c r="O20" i="22"/>
  <c r="N20" i="22"/>
  <c r="M20" i="22"/>
  <c r="L20" i="22"/>
  <c r="K20" i="22"/>
  <c r="J20" i="22"/>
  <c r="I20" i="22"/>
  <c r="H20" i="22"/>
  <c r="G20" i="22"/>
  <c r="F20" i="22"/>
  <c r="E20" i="22"/>
  <c r="D20" i="22"/>
  <c r="V19" i="22"/>
  <c r="U19" i="22"/>
  <c r="O19" i="22"/>
  <c r="N19" i="22"/>
  <c r="M19" i="22"/>
  <c r="L19" i="22"/>
  <c r="K19" i="22"/>
  <c r="J19" i="22"/>
  <c r="I19" i="22"/>
  <c r="H19" i="22"/>
  <c r="G19" i="22"/>
  <c r="F19" i="22"/>
  <c r="E19" i="22"/>
  <c r="D19" i="22"/>
  <c r="V18" i="22"/>
  <c r="U18" i="22"/>
  <c r="O18" i="22"/>
  <c r="N18" i="22"/>
  <c r="M18" i="22"/>
  <c r="L18" i="22"/>
  <c r="K18" i="22"/>
  <c r="J18" i="22"/>
  <c r="I18" i="22"/>
  <c r="H18" i="22"/>
  <c r="G18" i="22"/>
  <c r="F18" i="22"/>
  <c r="E18" i="22"/>
  <c r="D18" i="22"/>
  <c r="V17" i="22"/>
  <c r="U17" i="22"/>
  <c r="O17" i="22"/>
  <c r="N17" i="22"/>
  <c r="M17" i="22"/>
  <c r="L17" i="22"/>
  <c r="K17" i="22"/>
  <c r="J17" i="22"/>
  <c r="I17" i="22"/>
  <c r="H17" i="22"/>
  <c r="G17" i="22"/>
  <c r="F17" i="22"/>
  <c r="E17" i="22"/>
  <c r="D17" i="22"/>
  <c r="V16" i="22"/>
  <c r="U16" i="22"/>
  <c r="O16" i="22"/>
  <c r="N16" i="22"/>
  <c r="M16" i="22"/>
  <c r="L16" i="22"/>
  <c r="K16" i="22"/>
  <c r="J16" i="22"/>
  <c r="I16" i="22"/>
  <c r="H16" i="22"/>
  <c r="G16" i="22"/>
  <c r="F16" i="22"/>
  <c r="E16" i="22"/>
  <c r="D16" i="22"/>
  <c r="V15" i="22"/>
  <c r="U15" i="22"/>
  <c r="O15" i="22"/>
  <c r="N15" i="22"/>
  <c r="M15" i="22"/>
  <c r="L15" i="22"/>
  <c r="K15" i="22"/>
  <c r="J15" i="22"/>
  <c r="I15" i="22"/>
  <c r="H15" i="22"/>
  <c r="G15" i="22"/>
  <c r="F15" i="22"/>
  <c r="E15" i="22"/>
  <c r="D15" i="22"/>
  <c r="V14" i="22"/>
  <c r="U14" i="22"/>
  <c r="O14" i="22"/>
  <c r="N14" i="22"/>
  <c r="M14" i="22"/>
  <c r="L14" i="22"/>
  <c r="K14" i="22"/>
  <c r="J14" i="22"/>
  <c r="I14" i="22"/>
  <c r="H14" i="22"/>
  <c r="G14" i="22"/>
  <c r="F14" i="22"/>
  <c r="E14" i="22"/>
  <c r="D14" i="22"/>
  <c r="V13" i="22"/>
  <c r="U13" i="22"/>
  <c r="O13" i="22"/>
  <c r="N13" i="22"/>
  <c r="M13" i="22"/>
  <c r="L13" i="22"/>
  <c r="K13" i="22"/>
  <c r="J13" i="22"/>
  <c r="I13" i="22"/>
  <c r="H13" i="22"/>
  <c r="G13" i="22"/>
  <c r="F13" i="22"/>
  <c r="E13" i="22"/>
  <c r="D13" i="22"/>
  <c r="V12" i="22"/>
  <c r="U12" i="22"/>
  <c r="O12" i="22"/>
  <c r="N12" i="22"/>
  <c r="M12" i="22"/>
  <c r="L12" i="22"/>
  <c r="K12" i="22"/>
  <c r="J12" i="22"/>
  <c r="I12" i="22"/>
  <c r="H12" i="22"/>
  <c r="G12" i="22"/>
  <c r="F12" i="22"/>
  <c r="E12" i="22"/>
  <c r="D12" i="22"/>
  <c r="V11" i="22"/>
  <c r="U11" i="22"/>
  <c r="O11" i="22"/>
  <c r="M11" i="22"/>
  <c r="L11" i="22"/>
  <c r="K11" i="22"/>
  <c r="J11" i="22"/>
  <c r="I11" i="22"/>
  <c r="H11" i="22"/>
  <c r="G11" i="22"/>
  <c r="F11" i="22"/>
  <c r="E11" i="22"/>
  <c r="D11" i="22"/>
  <c r="V10" i="22"/>
  <c r="U10" i="22"/>
  <c r="O10" i="22"/>
  <c r="N10" i="22"/>
  <c r="M10" i="22"/>
  <c r="L10" i="22"/>
  <c r="K10" i="22"/>
  <c r="J10" i="22"/>
  <c r="I10" i="22"/>
  <c r="H10" i="22"/>
  <c r="G10" i="22"/>
  <c r="F10" i="22"/>
  <c r="E10" i="22"/>
  <c r="D10" i="22"/>
  <c r="V9" i="22"/>
  <c r="U9" i="22"/>
  <c r="T9" i="22"/>
  <c r="O9" i="22"/>
  <c r="N9" i="22"/>
  <c r="M9" i="22"/>
  <c r="L9" i="22"/>
  <c r="K9" i="22"/>
  <c r="J9" i="22"/>
  <c r="I9" i="22"/>
  <c r="H9" i="22"/>
  <c r="G9" i="22"/>
  <c r="F9" i="22"/>
  <c r="E9" i="22"/>
  <c r="D9" i="22"/>
  <c r="V8" i="22"/>
  <c r="U8" i="22"/>
  <c r="T8" i="22"/>
  <c r="O8" i="22"/>
  <c r="N8" i="22"/>
  <c r="M8" i="22"/>
  <c r="L8" i="22"/>
  <c r="K8" i="22"/>
  <c r="J8" i="22"/>
  <c r="I8" i="22"/>
  <c r="H8" i="22"/>
  <c r="G8" i="22"/>
  <c r="F8" i="22"/>
  <c r="E8" i="22"/>
  <c r="D8" i="22"/>
  <c r="V7" i="22"/>
  <c r="U7" i="22"/>
  <c r="O7" i="22"/>
  <c r="N7" i="22"/>
  <c r="M7" i="22"/>
  <c r="L7" i="22"/>
  <c r="K7" i="22"/>
  <c r="J7" i="22"/>
  <c r="I7" i="22"/>
  <c r="H7" i="22"/>
  <c r="G7" i="22"/>
  <c r="F7" i="22"/>
  <c r="E7" i="22"/>
  <c r="D7" i="22"/>
  <c r="V6" i="22"/>
  <c r="U6" i="22"/>
  <c r="O6" i="22"/>
  <c r="N6" i="22"/>
  <c r="M6" i="22"/>
  <c r="L6" i="22"/>
  <c r="K6" i="22"/>
  <c r="J6" i="22"/>
  <c r="I6" i="22"/>
  <c r="H6" i="22"/>
  <c r="G6" i="22"/>
  <c r="F6" i="22"/>
  <c r="E6" i="22"/>
  <c r="D6" i="22"/>
  <c r="U5" i="22"/>
  <c r="V5" i="22" s="1"/>
  <c r="O5" i="22"/>
  <c r="N5" i="22"/>
  <c r="M5" i="22"/>
  <c r="L5" i="22"/>
  <c r="K5" i="22"/>
  <c r="J5" i="22"/>
  <c r="I5" i="22"/>
  <c r="H5" i="22"/>
  <c r="G5" i="22"/>
  <c r="F5" i="22"/>
  <c r="E5" i="22"/>
  <c r="D5" i="22"/>
  <c r="V4" i="22"/>
  <c r="U4" i="22"/>
  <c r="O4" i="22"/>
  <c r="N4" i="22"/>
  <c r="M4" i="22"/>
  <c r="L4" i="22"/>
  <c r="K4" i="22"/>
  <c r="J4" i="22"/>
  <c r="I4" i="22"/>
  <c r="H4" i="22"/>
  <c r="G4" i="22"/>
  <c r="F4" i="22"/>
  <c r="E4" i="22"/>
  <c r="D4" i="22"/>
  <c r="C43" i="20"/>
  <c r="E29" i="20"/>
  <c r="D29" i="20"/>
  <c r="E28" i="20"/>
  <c r="D28" i="20"/>
  <c r="C28" i="20"/>
  <c r="E25" i="20"/>
  <c r="G24" i="20"/>
  <c r="F24" i="20"/>
  <c r="E24" i="20"/>
  <c r="G23" i="20"/>
  <c r="F23" i="20"/>
  <c r="E23" i="20" s="1"/>
  <c r="J25" i="23" s="1"/>
  <c r="C23" i="20"/>
  <c r="E22" i="20"/>
  <c r="E21" i="20"/>
  <c r="G20" i="20"/>
  <c r="F20" i="20"/>
  <c r="E20" i="20"/>
  <c r="E19" i="20"/>
  <c r="G18" i="20"/>
  <c r="E18" i="20" s="1"/>
  <c r="F18" i="20"/>
  <c r="G17" i="20"/>
  <c r="E17" i="20" s="1"/>
  <c r="F17" i="20"/>
  <c r="E12" i="20"/>
  <c r="D12" i="20"/>
  <c r="C12" i="20"/>
  <c r="E11" i="20"/>
  <c r="C11" i="20"/>
  <c r="E10" i="20"/>
  <c r="G9" i="20"/>
  <c r="F9" i="20"/>
  <c r="E8" i="20"/>
  <c r="E7" i="20"/>
  <c r="V125" i="24"/>
  <c r="V124" i="24"/>
  <c r="Y122" i="24"/>
  <c r="V122" i="24"/>
  <c r="T120" i="24"/>
  <c r="U118" i="24"/>
  <c r="T118" i="24"/>
  <c r="O118" i="24"/>
  <c r="N118" i="24"/>
  <c r="M118" i="24"/>
  <c r="L118" i="24"/>
  <c r="K118" i="24"/>
  <c r="J118" i="24"/>
  <c r="I118" i="24"/>
  <c r="H118" i="24"/>
  <c r="G118" i="24"/>
  <c r="F118" i="24"/>
  <c r="E118" i="24"/>
  <c r="D118" i="24"/>
  <c r="U117" i="24"/>
  <c r="T117" i="24"/>
  <c r="O117" i="24"/>
  <c r="N117" i="24"/>
  <c r="M117" i="24"/>
  <c r="L117" i="24"/>
  <c r="K117" i="24"/>
  <c r="J117" i="24"/>
  <c r="I117" i="24"/>
  <c r="H117" i="24"/>
  <c r="G117" i="24"/>
  <c r="F117" i="24"/>
  <c r="E117" i="24"/>
  <c r="D117" i="24"/>
  <c r="U116" i="24"/>
  <c r="T116" i="24"/>
  <c r="O116" i="24"/>
  <c r="N116" i="24"/>
  <c r="M116" i="24"/>
  <c r="L116" i="24"/>
  <c r="K116" i="24"/>
  <c r="J116" i="24"/>
  <c r="I116" i="24"/>
  <c r="H116" i="24"/>
  <c r="G116" i="24"/>
  <c r="F116" i="24"/>
  <c r="E116" i="24"/>
  <c r="D116" i="24"/>
  <c r="U115" i="24"/>
  <c r="T115" i="24"/>
  <c r="O115" i="24"/>
  <c r="N115" i="24"/>
  <c r="M115" i="24"/>
  <c r="L115" i="24"/>
  <c r="K115" i="24"/>
  <c r="J115" i="24"/>
  <c r="I115" i="24"/>
  <c r="H115" i="24"/>
  <c r="G115" i="24"/>
  <c r="F115" i="24"/>
  <c r="E115" i="24"/>
  <c r="D115" i="24"/>
  <c r="U114" i="24"/>
  <c r="T114" i="24"/>
  <c r="O114" i="24"/>
  <c r="N114" i="24"/>
  <c r="M114" i="24"/>
  <c r="L114" i="24"/>
  <c r="K114" i="24"/>
  <c r="J114" i="24"/>
  <c r="I114" i="24"/>
  <c r="H114" i="24"/>
  <c r="G114" i="24"/>
  <c r="F114" i="24"/>
  <c r="E114" i="24"/>
  <c r="D114" i="24"/>
  <c r="U113" i="24"/>
  <c r="T113" i="24"/>
  <c r="O113" i="24"/>
  <c r="N113" i="24"/>
  <c r="M113" i="24"/>
  <c r="L113" i="24"/>
  <c r="K113" i="24"/>
  <c r="J113" i="24"/>
  <c r="I113" i="24"/>
  <c r="H113" i="24"/>
  <c r="G113" i="24"/>
  <c r="F113" i="24"/>
  <c r="E113" i="24"/>
  <c r="D113" i="24"/>
  <c r="U112" i="24"/>
  <c r="T112" i="24"/>
  <c r="O112" i="24"/>
  <c r="N112" i="24"/>
  <c r="M112" i="24"/>
  <c r="L112" i="24"/>
  <c r="K112" i="24"/>
  <c r="J112" i="24"/>
  <c r="I112" i="24"/>
  <c r="H112" i="24"/>
  <c r="G112" i="24"/>
  <c r="F112" i="24"/>
  <c r="E112" i="24"/>
  <c r="D112" i="24"/>
  <c r="U111" i="24"/>
  <c r="T111" i="24"/>
  <c r="O111" i="24"/>
  <c r="N111" i="24"/>
  <c r="M111" i="24"/>
  <c r="L111" i="24"/>
  <c r="K111" i="24"/>
  <c r="J111" i="24"/>
  <c r="I111" i="24"/>
  <c r="H111" i="24"/>
  <c r="G111" i="24"/>
  <c r="F111" i="24"/>
  <c r="E111" i="24"/>
  <c r="D111" i="24"/>
  <c r="U110" i="24"/>
  <c r="T110" i="24"/>
  <c r="O110" i="24"/>
  <c r="N110" i="24"/>
  <c r="M110" i="24"/>
  <c r="L110" i="24"/>
  <c r="K110" i="24"/>
  <c r="J110" i="24"/>
  <c r="I110" i="24"/>
  <c r="H110" i="24"/>
  <c r="G110" i="24"/>
  <c r="F110" i="24"/>
  <c r="E110" i="24"/>
  <c r="D110" i="24"/>
  <c r="U109" i="24"/>
  <c r="T109" i="24"/>
  <c r="O109" i="24"/>
  <c r="N109" i="24"/>
  <c r="M109" i="24"/>
  <c r="L109" i="24"/>
  <c r="K109" i="24"/>
  <c r="J109" i="24"/>
  <c r="I109" i="24"/>
  <c r="H109" i="24"/>
  <c r="G109" i="24"/>
  <c r="F109" i="24"/>
  <c r="E109" i="24"/>
  <c r="D109" i="24"/>
  <c r="U108" i="24"/>
  <c r="T108" i="24"/>
  <c r="O108" i="24"/>
  <c r="N108" i="24"/>
  <c r="M108" i="24"/>
  <c r="L108" i="24"/>
  <c r="K108" i="24"/>
  <c r="J108" i="24"/>
  <c r="I108" i="24"/>
  <c r="H108" i="24"/>
  <c r="G108" i="24"/>
  <c r="F108" i="24"/>
  <c r="E108" i="24"/>
  <c r="D108" i="24"/>
  <c r="U107" i="24"/>
  <c r="T107" i="24"/>
  <c r="O107" i="24"/>
  <c r="N107" i="24"/>
  <c r="M107" i="24"/>
  <c r="L107" i="24"/>
  <c r="K107" i="24"/>
  <c r="J107" i="24"/>
  <c r="I107" i="24"/>
  <c r="H107" i="24"/>
  <c r="G107" i="24"/>
  <c r="F107" i="24"/>
  <c r="E107" i="24"/>
  <c r="D107" i="24"/>
  <c r="U106" i="24"/>
  <c r="T106" i="24"/>
  <c r="O106" i="24"/>
  <c r="N106" i="24"/>
  <c r="M106" i="24"/>
  <c r="L106" i="24"/>
  <c r="K106" i="24"/>
  <c r="J106" i="24"/>
  <c r="I106" i="24"/>
  <c r="H106" i="24"/>
  <c r="G106" i="24"/>
  <c r="F106" i="24"/>
  <c r="E106" i="24"/>
  <c r="D106" i="24"/>
  <c r="U105" i="24"/>
  <c r="T105" i="24"/>
  <c r="O105" i="24"/>
  <c r="N105" i="24"/>
  <c r="M105" i="24"/>
  <c r="L105" i="24"/>
  <c r="K105" i="24"/>
  <c r="J105" i="24"/>
  <c r="I105" i="24"/>
  <c r="H105" i="24"/>
  <c r="G105" i="24"/>
  <c r="F105" i="24"/>
  <c r="E105" i="24"/>
  <c r="D105" i="24"/>
  <c r="U104" i="24"/>
  <c r="T104" i="24"/>
  <c r="O104" i="24"/>
  <c r="N104" i="24"/>
  <c r="M104" i="24"/>
  <c r="L104" i="24"/>
  <c r="K104" i="24"/>
  <c r="J104" i="24"/>
  <c r="I104" i="24"/>
  <c r="H104" i="24"/>
  <c r="G104" i="24"/>
  <c r="F104" i="24"/>
  <c r="E104" i="24"/>
  <c r="D104" i="24"/>
  <c r="U103" i="24"/>
  <c r="T103" i="24"/>
  <c r="O103" i="24"/>
  <c r="N103" i="24"/>
  <c r="M103" i="24"/>
  <c r="L103" i="24"/>
  <c r="K103" i="24"/>
  <c r="J103" i="24"/>
  <c r="I103" i="24"/>
  <c r="H103" i="24"/>
  <c r="G103" i="24"/>
  <c r="F103" i="24"/>
  <c r="E103" i="24"/>
  <c r="D103" i="24"/>
  <c r="U102" i="24"/>
  <c r="T102" i="24"/>
  <c r="O102" i="24"/>
  <c r="N102" i="24"/>
  <c r="M102" i="24"/>
  <c r="L102" i="24"/>
  <c r="K102" i="24"/>
  <c r="J102" i="24"/>
  <c r="I102" i="24"/>
  <c r="H102" i="24"/>
  <c r="G102" i="24"/>
  <c r="F102" i="24"/>
  <c r="E102" i="24"/>
  <c r="D102" i="24"/>
  <c r="U101" i="24"/>
  <c r="T101" i="24"/>
  <c r="O101" i="24"/>
  <c r="N101" i="24"/>
  <c r="M101" i="24"/>
  <c r="L101" i="24"/>
  <c r="K101" i="24"/>
  <c r="J101" i="24"/>
  <c r="I101" i="24"/>
  <c r="H101" i="24"/>
  <c r="G101" i="24"/>
  <c r="F101" i="24"/>
  <c r="E101" i="24"/>
  <c r="D101" i="24"/>
  <c r="U100" i="24"/>
  <c r="T100" i="24"/>
  <c r="O100" i="24"/>
  <c r="N100" i="24"/>
  <c r="M100" i="24"/>
  <c r="L100" i="24"/>
  <c r="K100" i="24"/>
  <c r="J100" i="24"/>
  <c r="I100" i="24"/>
  <c r="H100" i="24"/>
  <c r="G100" i="24"/>
  <c r="F100" i="24"/>
  <c r="E100" i="24"/>
  <c r="D100" i="24"/>
  <c r="U99" i="24"/>
  <c r="T99" i="24"/>
  <c r="O99" i="24"/>
  <c r="N99" i="24"/>
  <c r="M99" i="24"/>
  <c r="L99" i="24"/>
  <c r="K99" i="24"/>
  <c r="J99" i="24"/>
  <c r="I99" i="24"/>
  <c r="H99" i="24"/>
  <c r="G99" i="24"/>
  <c r="F99" i="24"/>
  <c r="E99" i="24"/>
  <c r="D99" i="24"/>
  <c r="U98" i="24"/>
  <c r="T98" i="24"/>
  <c r="O98" i="24"/>
  <c r="N98" i="24"/>
  <c r="M98" i="24"/>
  <c r="L98" i="24"/>
  <c r="K98" i="24"/>
  <c r="J98" i="24"/>
  <c r="I98" i="24"/>
  <c r="H98" i="24"/>
  <c r="G98" i="24"/>
  <c r="F98" i="24"/>
  <c r="E98" i="24"/>
  <c r="D98" i="24"/>
  <c r="U97" i="24"/>
  <c r="T97" i="24"/>
  <c r="O97" i="24"/>
  <c r="N97" i="24"/>
  <c r="M97" i="24"/>
  <c r="L97" i="24"/>
  <c r="K97" i="24"/>
  <c r="J97" i="24"/>
  <c r="I97" i="24"/>
  <c r="H97" i="24"/>
  <c r="G97" i="24"/>
  <c r="F97" i="24"/>
  <c r="E97" i="24"/>
  <c r="D97" i="24"/>
  <c r="U96" i="24"/>
  <c r="T96" i="24"/>
  <c r="O96" i="24"/>
  <c r="N96" i="24"/>
  <c r="M96" i="24"/>
  <c r="L96" i="24"/>
  <c r="K96" i="24"/>
  <c r="J96" i="24"/>
  <c r="I96" i="24"/>
  <c r="H96" i="24"/>
  <c r="G96" i="24"/>
  <c r="F96" i="24"/>
  <c r="E96" i="24"/>
  <c r="D96" i="24"/>
  <c r="U95" i="24"/>
  <c r="T95" i="24"/>
  <c r="O95" i="24"/>
  <c r="N95" i="24"/>
  <c r="M95" i="24"/>
  <c r="L95" i="24"/>
  <c r="K95" i="24"/>
  <c r="J95" i="24"/>
  <c r="I95" i="24"/>
  <c r="H95" i="24"/>
  <c r="G95" i="24"/>
  <c r="F95" i="24"/>
  <c r="E95" i="24"/>
  <c r="D95" i="24"/>
  <c r="U94" i="24"/>
  <c r="T94" i="24"/>
  <c r="O94" i="24"/>
  <c r="N94" i="24"/>
  <c r="M94" i="24"/>
  <c r="L94" i="24"/>
  <c r="K94" i="24"/>
  <c r="J94" i="24"/>
  <c r="I94" i="24"/>
  <c r="H94" i="24"/>
  <c r="G94" i="24"/>
  <c r="F94" i="24"/>
  <c r="E94" i="24"/>
  <c r="D94" i="24"/>
  <c r="U93" i="24"/>
  <c r="T93" i="24"/>
  <c r="O93" i="24"/>
  <c r="N93" i="24"/>
  <c r="M93" i="24"/>
  <c r="L93" i="24"/>
  <c r="K93" i="24"/>
  <c r="J93" i="24"/>
  <c r="I93" i="24"/>
  <c r="H93" i="24"/>
  <c r="G93" i="24"/>
  <c r="F93" i="24"/>
  <c r="E93" i="24"/>
  <c r="D93" i="24"/>
  <c r="U92" i="24"/>
  <c r="T92" i="24"/>
  <c r="O92" i="24"/>
  <c r="N92" i="24"/>
  <c r="M92" i="24"/>
  <c r="L92" i="24"/>
  <c r="K92" i="24"/>
  <c r="J92" i="24"/>
  <c r="I92" i="24"/>
  <c r="H92" i="24"/>
  <c r="G92" i="24"/>
  <c r="F92" i="24"/>
  <c r="E92" i="24"/>
  <c r="D92" i="24"/>
  <c r="U91" i="24"/>
  <c r="T91" i="24"/>
  <c r="O91" i="24"/>
  <c r="N91" i="24"/>
  <c r="M91" i="24"/>
  <c r="L91" i="24"/>
  <c r="K91" i="24"/>
  <c r="J91" i="24"/>
  <c r="I91" i="24"/>
  <c r="H91" i="24"/>
  <c r="G91" i="24"/>
  <c r="F91" i="24"/>
  <c r="E91" i="24"/>
  <c r="D91" i="24"/>
  <c r="U90" i="24"/>
  <c r="T90" i="24"/>
  <c r="O90" i="24"/>
  <c r="N90" i="24"/>
  <c r="M90" i="24"/>
  <c r="L90" i="24"/>
  <c r="K90" i="24"/>
  <c r="J90" i="24"/>
  <c r="I90" i="24"/>
  <c r="H90" i="24"/>
  <c r="G90" i="24"/>
  <c r="F90" i="24"/>
  <c r="E90" i="24"/>
  <c r="D90" i="24"/>
  <c r="U89" i="24"/>
  <c r="T89" i="24"/>
  <c r="O89" i="24"/>
  <c r="N89" i="24"/>
  <c r="M89" i="24"/>
  <c r="L89" i="24"/>
  <c r="K89" i="24"/>
  <c r="J89" i="24"/>
  <c r="I89" i="24"/>
  <c r="H89" i="24"/>
  <c r="G89" i="24"/>
  <c r="F89" i="24"/>
  <c r="E89" i="24"/>
  <c r="D89" i="24"/>
  <c r="U88" i="24"/>
  <c r="T88" i="24"/>
  <c r="O88" i="24"/>
  <c r="N88" i="24"/>
  <c r="M88" i="24"/>
  <c r="L88" i="24"/>
  <c r="K88" i="24"/>
  <c r="J88" i="24"/>
  <c r="I88" i="24"/>
  <c r="H88" i="24"/>
  <c r="G88" i="24"/>
  <c r="F88" i="24"/>
  <c r="E88" i="24"/>
  <c r="D88" i="24"/>
  <c r="U87" i="24"/>
  <c r="T87" i="24"/>
  <c r="O87" i="24"/>
  <c r="N87" i="24"/>
  <c r="M87" i="24"/>
  <c r="L87" i="24"/>
  <c r="K87" i="24"/>
  <c r="J87" i="24"/>
  <c r="I87" i="24"/>
  <c r="H87" i="24"/>
  <c r="G87" i="24"/>
  <c r="F87" i="24"/>
  <c r="E87" i="24"/>
  <c r="D87" i="24"/>
  <c r="U86" i="24"/>
  <c r="T86" i="24"/>
  <c r="O86" i="24"/>
  <c r="N86" i="24"/>
  <c r="M86" i="24"/>
  <c r="L86" i="24"/>
  <c r="K86" i="24"/>
  <c r="J86" i="24"/>
  <c r="I86" i="24"/>
  <c r="H86" i="24"/>
  <c r="G86" i="24"/>
  <c r="F86" i="24"/>
  <c r="E86" i="24"/>
  <c r="D86" i="24"/>
  <c r="U85" i="24"/>
  <c r="T85" i="24"/>
  <c r="O85" i="24"/>
  <c r="N85" i="24"/>
  <c r="M85" i="24"/>
  <c r="L85" i="24"/>
  <c r="K85" i="24"/>
  <c r="J85" i="24"/>
  <c r="I85" i="24"/>
  <c r="H85" i="24"/>
  <c r="G85" i="24"/>
  <c r="F85" i="24"/>
  <c r="E85" i="24"/>
  <c r="D85" i="24"/>
  <c r="U84" i="24"/>
  <c r="T84" i="24"/>
  <c r="O84" i="24"/>
  <c r="N84" i="24"/>
  <c r="M84" i="24"/>
  <c r="L84" i="24"/>
  <c r="K84" i="24"/>
  <c r="J84" i="24"/>
  <c r="I84" i="24"/>
  <c r="H84" i="24"/>
  <c r="G84" i="24"/>
  <c r="F84" i="24"/>
  <c r="E84" i="24"/>
  <c r="D84" i="24"/>
  <c r="U83" i="24"/>
  <c r="T83" i="24"/>
  <c r="O83" i="24"/>
  <c r="N83" i="24"/>
  <c r="M83" i="24"/>
  <c r="L83" i="24"/>
  <c r="K83" i="24"/>
  <c r="J83" i="24"/>
  <c r="I83" i="24"/>
  <c r="H83" i="24"/>
  <c r="G83" i="24"/>
  <c r="F83" i="24"/>
  <c r="E83" i="24"/>
  <c r="D83" i="24"/>
  <c r="U82" i="24"/>
  <c r="T82" i="24"/>
  <c r="O82" i="24"/>
  <c r="N82" i="24"/>
  <c r="M82" i="24"/>
  <c r="L82" i="24"/>
  <c r="K82" i="24"/>
  <c r="J82" i="24"/>
  <c r="I82" i="24"/>
  <c r="H82" i="24"/>
  <c r="G82" i="24"/>
  <c r="F82" i="24"/>
  <c r="E82" i="24"/>
  <c r="D82" i="24"/>
  <c r="U81" i="24"/>
  <c r="T81" i="24"/>
  <c r="O81" i="24"/>
  <c r="N81" i="24"/>
  <c r="M81" i="24"/>
  <c r="L81" i="24"/>
  <c r="K81" i="24"/>
  <c r="J81" i="24"/>
  <c r="I81" i="24"/>
  <c r="H81" i="24"/>
  <c r="G81" i="24"/>
  <c r="F81" i="24"/>
  <c r="E81" i="24"/>
  <c r="D81" i="24"/>
  <c r="U80" i="24"/>
  <c r="T80" i="24"/>
  <c r="O80" i="24"/>
  <c r="N80" i="24"/>
  <c r="M80" i="24"/>
  <c r="L80" i="24"/>
  <c r="K80" i="24"/>
  <c r="J80" i="24"/>
  <c r="I80" i="24"/>
  <c r="H80" i="24"/>
  <c r="G80" i="24"/>
  <c r="F80" i="24"/>
  <c r="E80" i="24"/>
  <c r="D80" i="24"/>
  <c r="U79" i="24"/>
  <c r="T79" i="24"/>
  <c r="O79" i="24"/>
  <c r="N79" i="24"/>
  <c r="M79" i="24"/>
  <c r="L79" i="24"/>
  <c r="K79" i="24"/>
  <c r="J79" i="24"/>
  <c r="I79" i="24"/>
  <c r="H79" i="24"/>
  <c r="G79" i="24"/>
  <c r="F79" i="24"/>
  <c r="E79" i="24"/>
  <c r="D79" i="24"/>
  <c r="U78" i="24"/>
  <c r="T78" i="24"/>
  <c r="O78" i="24"/>
  <c r="N78" i="24"/>
  <c r="M78" i="24"/>
  <c r="L78" i="24"/>
  <c r="K78" i="24"/>
  <c r="J78" i="24"/>
  <c r="I78" i="24"/>
  <c r="H78" i="24"/>
  <c r="G78" i="24"/>
  <c r="F78" i="24"/>
  <c r="E78" i="24"/>
  <c r="D78" i="24"/>
  <c r="U77" i="24"/>
  <c r="T77" i="24"/>
  <c r="O77" i="24"/>
  <c r="N77" i="24"/>
  <c r="M77" i="24"/>
  <c r="L77" i="24"/>
  <c r="K77" i="24"/>
  <c r="J77" i="24"/>
  <c r="I77" i="24"/>
  <c r="H77" i="24"/>
  <c r="G77" i="24"/>
  <c r="F77" i="24"/>
  <c r="E77" i="24"/>
  <c r="D77" i="24"/>
  <c r="P76" i="24"/>
  <c r="U75" i="24"/>
  <c r="T75" i="24"/>
  <c r="O75" i="24"/>
  <c r="N75" i="24"/>
  <c r="M75" i="24"/>
  <c r="L75" i="24"/>
  <c r="K75" i="24"/>
  <c r="J75" i="24"/>
  <c r="I75" i="24"/>
  <c r="H75" i="24"/>
  <c r="G75" i="24"/>
  <c r="F75" i="24"/>
  <c r="E75" i="24"/>
  <c r="D75" i="24"/>
  <c r="U74" i="24"/>
  <c r="T74" i="24"/>
  <c r="O74" i="24"/>
  <c r="N74" i="24"/>
  <c r="M74" i="24"/>
  <c r="L74" i="24"/>
  <c r="K74" i="24"/>
  <c r="J74" i="24"/>
  <c r="I74" i="24"/>
  <c r="H74" i="24"/>
  <c r="G74" i="24"/>
  <c r="F74" i="24"/>
  <c r="E74" i="24"/>
  <c r="D74" i="24"/>
  <c r="U73" i="24"/>
  <c r="T73" i="24"/>
  <c r="O73" i="24"/>
  <c r="N73" i="24"/>
  <c r="M73" i="24"/>
  <c r="L73" i="24"/>
  <c r="K73" i="24"/>
  <c r="J73" i="24"/>
  <c r="I73" i="24"/>
  <c r="H73" i="24"/>
  <c r="G73" i="24"/>
  <c r="F73" i="24"/>
  <c r="E73" i="24"/>
  <c r="D73" i="24"/>
  <c r="U72" i="24"/>
  <c r="T72" i="24"/>
  <c r="O72" i="24"/>
  <c r="N72" i="24"/>
  <c r="M72" i="24"/>
  <c r="L72" i="24"/>
  <c r="K72" i="24"/>
  <c r="J72" i="24"/>
  <c r="I72" i="24"/>
  <c r="H72" i="24"/>
  <c r="G72" i="24"/>
  <c r="F72" i="24"/>
  <c r="E72" i="24"/>
  <c r="D72" i="24"/>
  <c r="U71" i="24"/>
  <c r="T71" i="24"/>
  <c r="O71" i="24"/>
  <c r="N71" i="24"/>
  <c r="M71" i="24"/>
  <c r="L71" i="24"/>
  <c r="K71" i="24"/>
  <c r="J71" i="24"/>
  <c r="I71" i="24"/>
  <c r="H71" i="24"/>
  <c r="G71" i="24"/>
  <c r="F71" i="24"/>
  <c r="E71" i="24"/>
  <c r="D71" i="24"/>
  <c r="U70" i="24"/>
  <c r="T70" i="24"/>
  <c r="O70" i="24"/>
  <c r="N70" i="24"/>
  <c r="M70" i="24"/>
  <c r="L70" i="24"/>
  <c r="K70" i="24"/>
  <c r="J70" i="24"/>
  <c r="I70" i="24"/>
  <c r="H70" i="24"/>
  <c r="G70" i="24"/>
  <c r="F70" i="24"/>
  <c r="E70" i="24"/>
  <c r="D70" i="24"/>
  <c r="U69" i="24"/>
  <c r="T69" i="24"/>
  <c r="O69" i="24"/>
  <c r="N69" i="24"/>
  <c r="M69" i="24"/>
  <c r="L69" i="24"/>
  <c r="K69" i="24"/>
  <c r="J69" i="24"/>
  <c r="I69" i="24"/>
  <c r="H69" i="24"/>
  <c r="G69" i="24"/>
  <c r="F69" i="24"/>
  <c r="E69" i="24"/>
  <c r="D69" i="24"/>
  <c r="U68" i="24"/>
  <c r="T68" i="24"/>
  <c r="O68" i="24"/>
  <c r="N68" i="24"/>
  <c r="M68" i="24"/>
  <c r="L68" i="24"/>
  <c r="K68" i="24"/>
  <c r="J68" i="24"/>
  <c r="I68" i="24"/>
  <c r="H68" i="24"/>
  <c r="G68" i="24"/>
  <c r="F68" i="24"/>
  <c r="E68" i="24"/>
  <c r="D68" i="24"/>
  <c r="U67" i="24"/>
  <c r="T67" i="24"/>
  <c r="O67" i="24"/>
  <c r="N67" i="24"/>
  <c r="M67" i="24"/>
  <c r="L67" i="24"/>
  <c r="K67" i="24"/>
  <c r="J67" i="24"/>
  <c r="I67" i="24"/>
  <c r="H67" i="24"/>
  <c r="G67" i="24"/>
  <c r="F67" i="24"/>
  <c r="E67" i="24"/>
  <c r="D67" i="24"/>
  <c r="U66" i="24"/>
  <c r="T66" i="24"/>
  <c r="O66" i="24"/>
  <c r="N66" i="24"/>
  <c r="M66" i="24"/>
  <c r="L66" i="24"/>
  <c r="K66" i="24"/>
  <c r="J66" i="24"/>
  <c r="I66" i="24"/>
  <c r="H66" i="24"/>
  <c r="G66" i="24"/>
  <c r="F66" i="24"/>
  <c r="E66" i="24"/>
  <c r="D66" i="24"/>
  <c r="U65" i="24"/>
  <c r="T65" i="24"/>
  <c r="O65" i="24"/>
  <c r="N65" i="24"/>
  <c r="M65" i="24"/>
  <c r="L65" i="24"/>
  <c r="K65" i="24"/>
  <c r="J65" i="24"/>
  <c r="I65" i="24"/>
  <c r="H65" i="24"/>
  <c r="G65" i="24"/>
  <c r="F65" i="24"/>
  <c r="E65" i="24"/>
  <c r="D65" i="24"/>
  <c r="T64" i="24"/>
  <c r="O64" i="24"/>
  <c r="N64" i="24"/>
  <c r="M64" i="24"/>
  <c r="L64" i="24"/>
  <c r="K64" i="24"/>
  <c r="J64" i="24"/>
  <c r="I64" i="24"/>
  <c r="H64" i="24"/>
  <c r="G64" i="24"/>
  <c r="F64" i="24"/>
  <c r="E64" i="24"/>
  <c r="D64" i="24"/>
  <c r="U63" i="24"/>
  <c r="T63" i="24"/>
  <c r="O63" i="24"/>
  <c r="N63" i="24"/>
  <c r="M63" i="24"/>
  <c r="L63" i="24"/>
  <c r="K63" i="24"/>
  <c r="J63" i="24"/>
  <c r="I63" i="24"/>
  <c r="H63" i="24"/>
  <c r="G63" i="24"/>
  <c r="F63" i="24"/>
  <c r="E63" i="24"/>
  <c r="D63" i="24"/>
  <c r="U62" i="24"/>
  <c r="T62" i="24"/>
  <c r="O62" i="24"/>
  <c r="N62" i="24"/>
  <c r="M62" i="24"/>
  <c r="L62" i="24"/>
  <c r="K62" i="24"/>
  <c r="J62" i="24"/>
  <c r="I62" i="24"/>
  <c r="H62" i="24"/>
  <c r="G62" i="24"/>
  <c r="F62" i="24"/>
  <c r="E62" i="24"/>
  <c r="D62" i="24"/>
  <c r="U61" i="24"/>
  <c r="T61" i="24"/>
  <c r="O61" i="24"/>
  <c r="N61" i="24"/>
  <c r="M61" i="24"/>
  <c r="L61" i="24"/>
  <c r="K61" i="24"/>
  <c r="J61" i="24"/>
  <c r="I61" i="24"/>
  <c r="H61" i="24"/>
  <c r="G61" i="24"/>
  <c r="F61" i="24"/>
  <c r="E61" i="24"/>
  <c r="D61" i="24"/>
  <c r="U60" i="24"/>
  <c r="T60" i="24"/>
  <c r="O60" i="24"/>
  <c r="N60" i="24"/>
  <c r="M60" i="24"/>
  <c r="L60" i="24"/>
  <c r="K60" i="24"/>
  <c r="J60" i="24"/>
  <c r="I60" i="24"/>
  <c r="H60" i="24"/>
  <c r="G60" i="24"/>
  <c r="F60" i="24"/>
  <c r="E60" i="24"/>
  <c r="D60" i="24"/>
  <c r="U59" i="24"/>
  <c r="T59" i="24"/>
  <c r="O59" i="24"/>
  <c r="N59" i="24"/>
  <c r="M59" i="24"/>
  <c r="L59" i="24"/>
  <c r="K59" i="24"/>
  <c r="J59" i="24"/>
  <c r="I59" i="24"/>
  <c r="H59" i="24"/>
  <c r="G59" i="24"/>
  <c r="F59" i="24"/>
  <c r="E59" i="24"/>
  <c r="D59" i="24"/>
  <c r="U58" i="24"/>
  <c r="T58" i="24"/>
  <c r="O58" i="24"/>
  <c r="N58" i="24"/>
  <c r="M58" i="24"/>
  <c r="L58" i="24"/>
  <c r="K58" i="24"/>
  <c r="J58" i="24"/>
  <c r="I58" i="24"/>
  <c r="H58" i="24"/>
  <c r="G58" i="24"/>
  <c r="F58" i="24"/>
  <c r="E58" i="24"/>
  <c r="D58" i="24"/>
  <c r="U57" i="24"/>
  <c r="T57" i="24"/>
  <c r="O57" i="24"/>
  <c r="N57" i="24"/>
  <c r="M57" i="24"/>
  <c r="L57" i="24"/>
  <c r="K57" i="24"/>
  <c r="J57" i="24"/>
  <c r="I57" i="24"/>
  <c r="H57" i="24"/>
  <c r="G57" i="24"/>
  <c r="F57" i="24"/>
  <c r="E57" i="24"/>
  <c r="D57" i="24"/>
  <c r="U56" i="24"/>
  <c r="T56" i="24"/>
  <c r="O56" i="24"/>
  <c r="N56" i="24"/>
  <c r="M56" i="24"/>
  <c r="L56" i="24"/>
  <c r="K56" i="24"/>
  <c r="J56" i="24"/>
  <c r="I56" i="24"/>
  <c r="H56" i="24"/>
  <c r="G56" i="24"/>
  <c r="F56" i="24"/>
  <c r="E56" i="24"/>
  <c r="D56" i="24"/>
  <c r="U55" i="24"/>
  <c r="T55" i="24"/>
  <c r="O55" i="24"/>
  <c r="N55" i="24"/>
  <c r="M55" i="24"/>
  <c r="L55" i="24"/>
  <c r="K55" i="24"/>
  <c r="J55" i="24"/>
  <c r="I55" i="24"/>
  <c r="H55" i="24"/>
  <c r="G55" i="24"/>
  <c r="F55" i="24"/>
  <c r="E55" i="24"/>
  <c r="D55" i="24"/>
  <c r="U54" i="24"/>
  <c r="T54" i="24"/>
  <c r="O54" i="24"/>
  <c r="N54" i="24"/>
  <c r="M54" i="24"/>
  <c r="L54" i="24"/>
  <c r="K54" i="24"/>
  <c r="J54" i="24"/>
  <c r="I54" i="24"/>
  <c r="H54" i="24"/>
  <c r="G54" i="24"/>
  <c r="F54" i="24"/>
  <c r="E54" i="24"/>
  <c r="D54" i="24"/>
  <c r="U53" i="24"/>
  <c r="T53" i="24"/>
  <c r="O53" i="24"/>
  <c r="N53" i="24"/>
  <c r="M53" i="24"/>
  <c r="L53" i="24"/>
  <c r="K53" i="24"/>
  <c r="J53" i="24"/>
  <c r="I53" i="24"/>
  <c r="H53" i="24"/>
  <c r="G53" i="24"/>
  <c r="F53" i="24"/>
  <c r="E53" i="24"/>
  <c r="D53" i="24"/>
  <c r="U52" i="24"/>
  <c r="T52" i="24"/>
  <c r="O52" i="24"/>
  <c r="N52" i="24"/>
  <c r="M52" i="24"/>
  <c r="L52" i="24"/>
  <c r="K52" i="24"/>
  <c r="J52" i="24"/>
  <c r="I52" i="24"/>
  <c r="H52" i="24"/>
  <c r="G52" i="24"/>
  <c r="F52" i="24"/>
  <c r="E52" i="24"/>
  <c r="D52" i="24"/>
  <c r="U51" i="24"/>
  <c r="T51" i="24"/>
  <c r="O51" i="24"/>
  <c r="N51" i="24"/>
  <c r="M51" i="24"/>
  <c r="L51" i="24"/>
  <c r="K51" i="24"/>
  <c r="J51" i="24"/>
  <c r="I51" i="24"/>
  <c r="H51" i="24"/>
  <c r="G51" i="24"/>
  <c r="F51" i="24"/>
  <c r="E51" i="24"/>
  <c r="D51" i="24"/>
  <c r="U50" i="24"/>
  <c r="T50" i="24"/>
  <c r="O50" i="24"/>
  <c r="N50" i="24"/>
  <c r="M50" i="24"/>
  <c r="L50" i="24"/>
  <c r="K50" i="24"/>
  <c r="J50" i="24"/>
  <c r="I50" i="24"/>
  <c r="H50" i="24"/>
  <c r="G50" i="24"/>
  <c r="F50" i="24"/>
  <c r="E50" i="24"/>
  <c r="D50" i="24"/>
  <c r="U49" i="24"/>
  <c r="T49" i="24"/>
  <c r="O49" i="24"/>
  <c r="N49" i="24"/>
  <c r="M49" i="24"/>
  <c r="L49" i="24"/>
  <c r="K49" i="24"/>
  <c r="J49" i="24"/>
  <c r="I49" i="24"/>
  <c r="H49" i="24"/>
  <c r="G49" i="24"/>
  <c r="F49" i="24"/>
  <c r="E49" i="24"/>
  <c r="D49" i="24"/>
  <c r="U48" i="24"/>
  <c r="T48" i="24"/>
  <c r="O48" i="24"/>
  <c r="N48" i="24"/>
  <c r="M48" i="24"/>
  <c r="L48" i="24"/>
  <c r="K48" i="24"/>
  <c r="J48" i="24"/>
  <c r="I48" i="24"/>
  <c r="H48" i="24"/>
  <c r="G48" i="24"/>
  <c r="F48" i="24"/>
  <c r="E48" i="24"/>
  <c r="D48" i="24"/>
  <c r="U47" i="24"/>
  <c r="T47" i="24"/>
  <c r="O47" i="24"/>
  <c r="N47" i="24"/>
  <c r="M47" i="24"/>
  <c r="L47" i="24"/>
  <c r="K47" i="24"/>
  <c r="J47" i="24"/>
  <c r="I47" i="24"/>
  <c r="H47" i="24"/>
  <c r="G47" i="24"/>
  <c r="F47" i="24"/>
  <c r="E47" i="24"/>
  <c r="D47" i="24"/>
  <c r="U46" i="24"/>
  <c r="T46" i="24"/>
  <c r="O46" i="24"/>
  <c r="N46" i="24"/>
  <c r="M46" i="24"/>
  <c r="L46" i="24"/>
  <c r="K46" i="24"/>
  <c r="J46" i="24"/>
  <c r="I46" i="24"/>
  <c r="H46" i="24"/>
  <c r="G46" i="24"/>
  <c r="F46" i="24"/>
  <c r="E46" i="24"/>
  <c r="D46" i="24"/>
  <c r="U45" i="24"/>
  <c r="T45" i="24"/>
  <c r="W45" i="24" s="1"/>
  <c r="O45" i="24"/>
  <c r="N45" i="24"/>
  <c r="M45" i="24"/>
  <c r="L45" i="24"/>
  <c r="K45" i="24"/>
  <c r="J45" i="24"/>
  <c r="I45" i="24"/>
  <c r="H45" i="24"/>
  <c r="G45" i="24"/>
  <c r="F45" i="24"/>
  <c r="E45" i="24"/>
  <c r="D45" i="24"/>
  <c r="U44" i="24"/>
  <c r="T44" i="24"/>
  <c r="O44" i="24"/>
  <c r="N44" i="24"/>
  <c r="M44" i="24"/>
  <c r="L44" i="24"/>
  <c r="K44" i="24"/>
  <c r="J44" i="24"/>
  <c r="I44" i="24"/>
  <c r="H44" i="24"/>
  <c r="G44" i="24"/>
  <c r="F44" i="24"/>
  <c r="E44" i="24"/>
  <c r="D44" i="24"/>
  <c r="U43" i="24"/>
  <c r="T43" i="24"/>
  <c r="O43" i="24"/>
  <c r="N43" i="24"/>
  <c r="M43" i="24"/>
  <c r="L43" i="24"/>
  <c r="K43" i="24"/>
  <c r="J43" i="24"/>
  <c r="I43" i="24"/>
  <c r="H43" i="24"/>
  <c r="G43" i="24"/>
  <c r="F43" i="24"/>
  <c r="E43" i="24"/>
  <c r="D43" i="24"/>
  <c r="U42" i="24"/>
  <c r="T42" i="24"/>
  <c r="O42" i="24"/>
  <c r="N42" i="24"/>
  <c r="M42" i="24"/>
  <c r="L42" i="24"/>
  <c r="K42" i="24"/>
  <c r="J42" i="24"/>
  <c r="I42" i="24"/>
  <c r="H42" i="24"/>
  <c r="G42" i="24"/>
  <c r="F42" i="24"/>
  <c r="E42" i="24"/>
  <c r="D42" i="24"/>
  <c r="U41" i="24"/>
  <c r="T41" i="24"/>
  <c r="O41" i="24"/>
  <c r="N41" i="24"/>
  <c r="M41" i="24"/>
  <c r="L41" i="24"/>
  <c r="K41" i="24"/>
  <c r="J41" i="24"/>
  <c r="I41" i="24"/>
  <c r="H41" i="24"/>
  <c r="G41" i="24"/>
  <c r="F41" i="24"/>
  <c r="E41" i="24"/>
  <c r="D41" i="24"/>
  <c r="U40" i="24"/>
  <c r="T40" i="24"/>
  <c r="O40" i="24"/>
  <c r="N40" i="24"/>
  <c r="M40" i="24"/>
  <c r="L40" i="24"/>
  <c r="K40" i="24"/>
  <c r="J40" i="24"/>
  <c r="I40" i="24"/>
  <c r="H40" i="24"/>
  <c r="G40" i="24"/>
  <c r="F40" i="24"/>
  <c r="E40" i="24"/>
  <c r="D40" i="24"/>
  <c r="V38" i="24"/>
  <c r="AC37" i="24"/>
  <c r="U37" i="24"/>
  <c r="T37" i="24"/>
  <c r="O37" i="24"/>
  <c r="N37" i="24"/>
  <c r="M37" i="24"/>
  <c r="L37" i="24"/>
  <c r="K37" i="24"/>
  <c r="J37" i="24"/>
  <c r="I37" i="24"/>
  <c r="H37" i="24"/>
  <c r="G37" i="24"/>
  <c r="F37" i="24"/>
  <c r="E37" i="24"/>
  <c r="D37" i="24"/>
  <c r="U36" i="24"/>
  <c r="T36" i="24"/>
  <c r="U35" i="24"/>
  <c r="T35" i="24"/>
  <c r="O35" i="24"/>
  <c r="N35" i="24"/>
  <c r="M35" i="24"/>
  <c r="L35" i="24"/>
  <c r="K35" i="24"/>
  <c r="J35" i="24"/>
  <c r="I35" i="24"/>
  <c r="H35" i="24"/>
  <c r="G35" i="24"/>
  <c r="F35" i="24"/>
  <c r="E35" i="24"/>
  <c r="D35" i="24"/>
  <c r="U34" i="24"/>
  <c r="T34" i="24"/>
  <c r="O34" i="24"/>
  <c r="N34" i="24"/>
  <c r="M34" i="24"/>
  <c r="L34" i="24"/>
  <c r="K34" i="24"/>
  <c r="J34" i="24"/>
  <c r="I34" i="24"/>
  <c r="H34" i="24"/>
  <c r="G34" i="24"/>
  <c r="F34" i="24"/>
  <c r="E34" i="24"/>
  <c r="D34" i="24"/>
  <c r="U33" i="24"/>
  <c r="T33" i="24"/>
  <c r="O33" i="24"/>
  <c r="N33" i="24"/>
  <c r="M33" i="24"/>
  <c r="L33" i="24"/>
  <c r="K33" i="24"/>
  <c r="J33" i="24"/>
  <c r="I33" i="24"/>
  <c r="H33" i="24"/>
  <c r="G33" i="24"/>
  <c r="F33" i="24"/>
  <c r="E33" i="24"/>
  <c r="D33" i="24"/>
  <c r="U32" i="24"/>
  <c r="T32" i="24"/>
  <c r="O32" i="24"/>
  <c r="N32" i="24"/>
  <c r="M32" i="24"/>
  <c r="L32" i="24"/>
  <c r="K32" i="24"/>
  <c r="J32" i="24"/>
  <c r="I32" i="24"/>
  <c r="H32" i="24"/>
  <c r="G32" i="24"/>
  <c r="F32" i="24"/>
  <c r="E32" i="24"/>
  <c r="D32" i="24"/>
  <c r="U31" i="24"/>
  <c r="T31" i="24"/>
  <c r="O31" i="24"/>
  <c r="N31" i="24"/>
  <c r="M31" i="24"/>
  <c r="L31" i="24"/>
  <c r="K31" i="24"/>
  <c r="J31" i="24"/>
  <c r="I31" i="24"/>
  <c r="H31" i="24"/>
  <c r="G31" i="24"/>
  <c r="F31" i="24"/>
  <c r="E31" i="24"/>
  <c r="D31" i="24"/>
  <c r="U30" i="24"/>
  <c r="T30" i="24"/>
  <c r="U29" i="24"/>
  <c r="T29" i="24"/>
  <c r="O29" i="24"/>
  <c r="N29" i="24"/>
  <c r="M29" i="24"/>
  <c r="L29" i="24"/>
  <c r="K29" i="24"/>
  <c r="J29" i="24"/>
  <c r="I29" i="24"/>
  <c r="H29" i="24"/>
  <c r="G29" i="24"/>
  <c r="F29" i="24"/>
  <c r="E29" i="24"/>
  <c r="D29" i="24"/>
  <c r="U28" i="24"/>
  <c r="T28" i="24"/>
  <c r="O28" i="24"/>
  <c r="N28" i="24"/>
  <c r="M28" i="24"/>
  <c r="L28" i="24"/>
  <c r="K28" i="24"/>
  <c r="J28" i="24"/>
  <c r="I28" i="24"/>
  <c r="H28" i="24"/>
  <c r="G28" i="24"/>
  <c r="F28" i="24"/>
  <c r="E28" i="24"/>
  <c r="D28" i="24"/>
  <c r="U27" i="24"/>
  <c r="T27" i="24"/>
  <c r="O27" i="24"/>
  <c r="N27" i="24"/>
  <c r="M27" i="24"/>
  <c r="L27" i="24"/>
  <c r="K27" i="24"/>
  <c r="J27" i="24"/>
  <c r="I27" i="24"/>
  <c r="H27" i="24"/>
  <c r="G27" i="24"/>
  <c r="F27" i="24"/>
  <c r="E27" i="24"/>
  <c r="D27" i="24"/>
  <c r="U26" i="24"/>
  <c r="T26" i="24"/>
  <c r="O26" i="24"/>
  <c r="N26" i="24"/>
  <c r="M26" i="24"/>
  <c r="L26" i="24"/>
  <c r="K26" i="24"/>
  <c r="J26" i="24"/>
  <c r="I26" i="24"/>
  <c r="H26" i="24"/>
  <c r="G26" i="24"/>
  <c r="F26" i="24"/>
  <c r="E26" i="24"/>
  <c r="D26" i="24"/>
  <c r="U25" i="24"/>
  <c r="T25" i="24"/>
  <c r="O25" i="24"/>
  <c r="N25" i="24"/>
  <c r="M25" i="24"/>
  <c r="L25" i="24"/>
  <c r="K25" i="24"/>
  <c r="J25" i="24"/>
  <c r="I25" i="24"/>
  <c r="H25" i="24"/>
  <c r="G25" i="24"/>
  <c r="F25" i="24"/>
  <c r="E25" i="24"/>
  <c r="D25" i="24"/>
  <c r="U24" i="24"/>
  <c r="T24" i="24"/>
  <c r="O24" i="24"/>
  <c r="N24" i="24"/>
  <c r="M24" i="24"/>
  <c r="L24" i="24"/>
  <c r="K24" i="24"/>
  <c r="J24" i="24"/>
  <c r="I24" i="24"/>
  <c r="H24" i="24"/>
  <c r="G24" i="24"/>
  <c r="F24" i="24"/>
  <c r="E24" i="24"/>
  <c r="D24" i="24"/>
  <c r="U23" i="24"/>
  <c r="T23" i="24"/>
  <c r="O23" i="24"/>
  <c r="N23" i="24"/>
  <c r="M23" i="24"/>
  <c r="L23" i="24"/>
  <c r="K23" i="24"/>
  <c r="J23" i="24"/>
  <c r="I23" i="24"/>
  <c r="H23" i="24"/>
  <c r="G23" i="24"/>
  <c r="F23" i="24"/>
  <c r="E23" i="24"/>
  <c r="D23" i="24"/>
  <c r="U22" i="24"/>
  <c r="T22" i="24"/>
  <c r="O22" i="24"/>
  <c r="N22" i="24"/>
  <c r="M22" i="24"/>
  <c r="L22" i="24"/>
  <c r="K22" i="24"/>
  <c r="J22" i="24"/>
  <c r="I22" i="24"/>
  <c r="H22" i="24"/>
  <c r="G22" i="24"/>
  <c r="F22" i="24"/>
  <c r="E22" i="24"/>
  <c r="D22" i="24"/>
  <c r="U21" i="24"/>
  <c r="T21" i="24"/>
  <c r="O21" i="24"/>
  <c r="N21" i="24"/>
  <c r="M21" i="24"/>
  <c r="L21" i="24"/>
  <c r="K21" i="24"/>
  <c r="J21" i="24"/>
  <c r="I21" i="24"/>
  <c r="H21" i="24"/>
  <c r="G21" i="24"/>
  <c r="F21" i="24"/>
  <c r="E21" i="24"/>
  <c r="D21" i="24"/>
  <c r="U20" i="24"/>
  <c r="T20" i="24"/>
  <c r="O20" i="24"/>
  <c r="N20" i="24"/>
  <c r="M20" i="24"/>
  <c r="L20" i="24"/>
  <c r="K20" i="24"/>
  <c r="J20" i="24"/>
  <c r="I20" i="24"/>
  <c r="H20" i="24"/>
  <c r="G20" i="24"/>
  <c r="F20" i="24"/>
  <c r="E20" i="24"/>
  <c r="D20" i="24"/>
  <c r="U19" i="24"/>
  <c r="T19" i="24"/>
  <c r="O19" i="24"/>
  <c r="N19" i="24"/>
  <c r="M19" i="24"/>
  <c r="L19" i="24"/>
  <c r="K19" i="24"/>
  <c r="J19" i="24"/>
  <c r="I19" i="24"/>
  <c r="H19" i="24"/>
  <c r="G19" i="24"/>
  <c r="F19" i="24"/>
  <c r="E19" i="24"/>
  <c r="D19" i="24"/>
  <c r="U18" i="24"/>
  <c r="T18" i="24"/>
  <c r="O18" i="24"/>
  <c r="N18" i="24"/>
  <c r="M18" i="24"/>
  <c r="L18" i="24"/>
  <c r="K18" i="24"/>
  <c r="J18" i="24"/>
  <c r="I18" i="24"/>
  <c r="H18" i="24"/>
  <c r="G18" i="24"/>
  <c r="F18" i="24"/>
  <c r="E18" i="24"/>
  <c r="D18" i="24"/>
  <c r="U17" i="24"/>
  <c r="T17" i="24"/>
  <c r="O17" i="24"/>
  <c r="N17" i="24"/>
  <c r="M17" i="24"/>
  <c r="L17" i="24"/>
  <c r="K17" i="24"/>
  <c r="J17" i="24"/>
  <c r="I17" i="24"/>
  <c r="H17" i="24"/>
  <c r="G17" i="24"/>
  <c r="F17" i="24"/>
  <c r="E17" i="24"/>
  <c r="D17" i="24"/>
  <c r="U16" i="24"/>
  <c r="T16" i="24"/>
  <c r="O16" i="24"/>
  <c r="N16" i="24"/>
  <c r="M16" i="24"/>
  <c r="L16" i="24"/>
  <c r="K16" i="24"/>
  <c r="J16" i="24"/>
  <c r="I16" i="24"/>
  <c r="H16" i="24"/>
  <c r="G16" i="24"/>
  <c r="F16" i="24"/>
  <c r="E16" i="24"/>
  <c r="D16" i="24"/>
  <c r="U15" i="24"/>
  <c r="T15" i="24"/>
  <c r="O15" i="24"/>
  <c r="N15" i="24"/>
  <c r="M15" i="24"/>
  <c r="L15" i="24"/>
  <c r="K15" i="24"/>
  <c r="J15" i="24"/>
  <c r="I15" i="24"/>
  <c r="H15" i="24"/>
  <c r="G15" i="24"/>
  <c r="F15" i="24"/>
  <c r="E15" i="24"/>
  <c r="D15" i="24"/>
  <c r="U14" i="24"/>
  <c r="U13" i="24"/>
  <c r="T13" i="24"/>
  <c r="O13" i="24"/>
  <c r="N13" i="24"/>
  <c r="M13" i="24"/>
  <c r="L13" i="24"/>
  <c r="K13" i="24"/>
  <c r="J13" i="24"/>
  <c r="I13" i="24"/>
  <c r="H13" i="24"/>
  <c r="G13" i="24"/>
  <c r="F13" i="24"/>
  <c r="E13" i="24"/>
  <c r="D13" i="24"/>
  <c r="U12" i="24"/>
  <c r="T12" i="24"/>
  <c r="O12" i="24"/>
  <c r="N12" i="24"/>
  <c r="M12" i="24"/>
  <c r="L12" i="24"/>
  <c r="K12" i="24"/>
  <c r="J12" i="24"/>
  <c r="I12" i="24"/>
  <c r="H12" i="24"/>
  <c r="G12" i="24"/>
  <c r="F12" i="24"/>
  <c r="E12" i="24"/>
  <c r="D12" i="24"/>
  <c r="U11" i="24"/>
  <c r="O11" i="24"/>
  <c r="N11" i="24"/>
  <c r="M11" i="24"/>
  <c r="L11" i="24"/>
  <c r="K11" i="24"/>
  <c r="J11" i="24"/>
  <c r="I11" i="24"/>
  <c r="H11" i="24"/>
  <c r="G11" i="24"/>
  <c r="F11" i="24"/>
  <c r="E11" i="24"/>
  <c r="D11" i="24"/>
  <c r="U10" i="24"/>
  <c r="O10" i="24"/>
  <c r="N10" i="24"/>
  <c r="M10" i="24"/>
  <c r="L10" i="24"/>
  <c r="K10" i="24"/>
  <c r="J10" i="24"/>
  <c r="I10" i="24"/>
  <c r="H10" i="24"/>
  <c r="G10" i="24"/>
  <c r="F10" i="24"/>
  <c r="E10" i="24"/>
  <c r="D10" i="24"/>
  <c r="U9" i="24"/>
  <c r="T9" i="24"/>
  <c r="O9" i="24"/>
  <c r="N9" i="24"/>
  <c r="M9" i="24"/>
  <c r="L9" i="24"/>
  <c r="K9" i="24"/>
  <c r="J9" i="24"/>
  <c r="I9" i="24"/>
  <c r="H9" i="24"/>
  <c r="G9" i="24"/>
  <c r="F9" i="24"/>
  <c r="E9" i="24"/>
  <c r="D9" i="24"/>
  <c r="U8" i="24"/>
  <c r="T8" i="24"/>
  <c r="O8" i="24"/>
  <c r="N8" i="24"/>
  <c r="M8" i="24"/>
  <c r="L8" i="24"/>
  <c r="K8" i="24"/>
  <c r="J8" i="24"/>
  <c r="I8" i="24"/>
  <c r="H8" i="24"/>
  <c r="G8" i="24"/>
  <c r="F8" i="24"/>
  <c r="E8" i="24"/>
  <c r="D8" i="24"/>
  <c r="U7" i="24"/>
  <c r="T7" i="24"/>
  <c r="O7" i="24"/>
  <c r="N7" i="24"/>
  <c r="M7" i="24"/>
  <c r="L7" i="24"/>
  <c r="K7" i="24"/>
  <c r="J7" i="24"/>
  <c r="I7" i="24"/>
  <c r="H7" i="24"/>
  <c r="G7" i="24"/>
  <c r="F7" i="24"/>
  <c r="E7" i="24"/>
  <c r="D7" i="24"/>
  <c r="U6" i="24"/>
  <c r="T6" i="24"/>
  <c r="O6" i="24"/>
  <c r="N6" i="24"/>
  <c r="M6" i="24"/>
  <c r="L6" i="24"/>
  <c r="K6" i="24"/>
  <c r="J6" i="24"/>
  <c r="I6" i="24"/>
  <c r="H6" i="24"/>
  <c r="G6" i="24"/>
  <c r="F6" i="24"/>
  <c r="E6" i="24"/>
  <c r="D6" i="24"/>
  <c r="U5" i="24"/>
  <c r="T5" i="24"/>
  <c r="O5" i="24"/>
  <c r="N5" i="24"/>
  <c r="M5" i="24"/>
  <c r="L5" i="24"/>
  <c r="K5" i="24"/>
  <c r="J5" i="24"/>
  <c r="I5" i="24"/>
  <c r="H5" i="24"/>
  <c r="G5" i="24"/>
  <c r="F5" i="24"/>
  <c r="E5" i="24"/>
  <c r="D5" i="24"/>
  <c r="J29" i="23"/>
  <c r="J28" i="23"/>
  <c r="G28" i="23"/>
  <c r="E28" i="23"/>
  <c r="B28" i="23"/>
  <c r="J27" i="23"/>
  <c r="G27" i="23"/>
  <c r="E27" i="23"/>
  <c r="C27" i="23"/>
  <c r="G26" i="23"/>
  <c r="E26" i="23"/>
  <c r="C26" i="23"/>
  <c r="B26" i="23"/>
  <c r="G25" i="23"/>
  <c r="F25" i="23"/>
  <c r="E25" i="23" s="1"/>
  <c r="C25" i="23"/>
  <c r="B25" i="23"/>
  <c r="G23" i="23"/>
  <c r="F23" i="23"/>
  <c r="E23" i="23" s="1"/>
  <c r="C23" i="23"/>
  <c r="B23" i="23"/>
  <c r="H22" i="23"/>
  <c r="C20" i="20" s="1"/>
  <c r="G22" i="23"/>
  <c r="F22" i="23"/>
  <c r="E22" i="23"/>
  <c r="G21" i="23"/>
  <c r="F21" i="23"/>
  <c r="E21" i="23" s="1"/>
  <c r="C21" i="23"/>
  <c r="G20" i="23"/>
  <c r="E20" i="23"/>
  <c r="C20" i="23"/>
  <c r="B20" i="23"/>
  <c r="G19" i="23"/>
  <c r="F19" i="23"/>
  <c r="E19" i="23" s="1"/>
  <c r="C19" i="23"/>
  <c r="B19" i="23"/>
  <c r="J18" i="23"/>
  <c r="J17" i="23"/>
  <c r="F14" i="23"/>
  <c r="B14" i="23"/>
  <c r="J12" i="23"/>
  <c r="J11" i="23"/>
  <c r="J10" i="23"/>
  <c r="J8" i="23"/>
  <c r="J7" i="23"/>
  <c r="AH154" i="17"/>
  <c r="AH153" i="17"/>
  <c r="AH152" i="17"/>
  <c r="AH151" i="17"/>
  <c r="AH150" i="17"/>
  <c r="AH149" i="17"/>
  <c r="AH148" i="17"/>
  <c r="AH147" i="17"/>
  <c r="AH146" i="17"/>
  <c r="AH145" i="17"/>
  <c r="AH144" i="17"/>
  <c r="AH143" i="17"/>
  <c r="AH142" i="17"/>
  <c r="AH141" i="17"/>
  <c r="AH140" i="17"/>
  <c r="AH139" i="17"/>
  <c r="AH138" i="17"/>
  <c r="AH137" i="17"/>
  <c r="AH136" i="17"/>
  <c r="AH135" i="17"/>
  <c r="AH134" i="17"/>
  <c r="AH133" i="17"/>
  <c r="AH132" i="17"/>
  <c r="AH131" i="17"/>
  <c r="AH130" i="17"/>
  <c r="AH129" i="17"/>
  <c r="AH128" i="17"/>
  <c r="AH127" i="17"/>
  <c r="AH126" i="17"/>
  <c r="AH125" i="17"/>
  <c r="AH124" i="17"/>
  <c r="AH123" i="17"/>
  <c r="AH122" i="17"/>
  <c r="AH121" i="17"/>
  <c r="AH120" i="17"/>
  <c r="AH119" i="17"/>
  <c r="AH118" i="17"/>
  <c r="AH117" i="17"/>
  <c r="AH116" i="17"/>
  <c r="AH115" i="17"/>
  <c r="AH114" i="17"/>
  <c r="AH113" i="17"/>
  <c r="AH112" i="17"/>
  <c r="AH111" i="17"/>
  <c r="AH110" i="17"/>
  <c r="AH109" i="17"/>
  <c r="AH108" i="17"/>
  <c r="AH107" i="17"/>
  <c r="AH106" i="17"/>
  <c r="AH105" i="17"/>
  <c r="AH104" i="17"/>
  <c r="AH103" i="17"/>
  <c r="AH102" i="17"/>
  <c r="AH101" i="17"/>
  <c r="AH100" i="17"/>
  <c r="AH99" i="17"/>
  <c r="AH98" i="17"/>
  <c r="AH97" i="17"/>
  <c r="AH96" i="17"/>
  <c r="AH95" i="17"/>
  <c r="AH94" i="17"/>
  <c r="AH93" i="17"/>
  <c r="AH92" i="17"/>
  <c r="AH91" i="17"/>
  <c r="AH90" i="17"/>
  <c r="AH89" i="17"/>
  <c r="AH88" i="17"/>
  <c r="AH87" i="17"/>
  <c r="AH86" i="17"/>
  <c r="AH85" i="17"/>
  <c r="AH84" i="17"/>
  <c r="AH83" i="17"/>
  <c r="AH82" i="17"/>
  <c r="A73" i="17"/>
  <c r="A62" i="17"/>
  <c r="A46" i="17"/>
  <c r="A45" i="17"/>
  <c r="A43" i="17"/>
  <c r="A37" i="17"/>
  <c r="A12" i="17"/>
  <c r="F37" i="3"/>
  <c r="E37" i="3"/>
  <c r="D37" i="3"/>
  <c r="C37" i="3"/>
  <c r="H35" i="3"/>
  <c r="G35" i="3"/>
  <c r="F35" i="3"/>
  <c r="E35" i="3"/>
  <c r="D35" i="3"/>
  <c r="C35" i="3"/>
  <c r="H33" i="3"/>
  <c r="G33" i="3"/>
  <c r="F33" i="3"/>
  <c r="E33" i="3"/>
  <c r="D33" i="3"/>
  <c r="C33" i="3"/>
  <c r="H32" i="3"/>
  <c r="D32" i="3"/>
  <c r="H31" i="3"/>
  <c r="F31" i="3"/>
  <c r="H30" i="3"/>
  <c r="G30" i="3"/>
  <c r="F30" i="3"/>
  <c r="D30" i="3"/>
  <c r="C30" i="3"/>
  <c r="H29" i="3"/>
  <c r="G29" i="3"/>
  <c r="F29" i="3"/>
  <c r="D29" i="3"/>
  <c r="H28" i="3"/>
  <c r="G28" i="3"/>
  <c r="F28" i="3"/>
  <c r="D28" i="3"/>
  <c r="C28" i="3"/>
  <c r="H27" i="3"/>
  <c r="G27" i="3"/>
  <c r="F27" i="3"/>
  <c r="D27" i="3"/>
  <c r="C27" i="3"/>
  <c r="H26" i="3"/>
  <c r="F26" i="3"/>
  <c r="H25" i="3"/>
  <c r="G25" i="3"/>
  <c r="F25" i="3"/>
  <c r="D25" i="3"/>
  <c r="C25" i="3"/>
  <c r="H24" i="3"/>
  <c r="G24" i="3"/>
  <c r="F24" i="3"/>
  <c r="H23" i="3"/>
  <c r="G23" i="3"/>
  <c r="F23" i="3"/>
  <c r="D23" i="3"/>
  <c r="C23" i="3"/>
  <c r="H22" i="3"/>
  <c r="G22" i="3"/>
  <c r="F22" i="3"/>
  <c r="D22" i="3"/>
  <c r="C22" i="3"/>
  <c r="H21" i="3"/>
  <c r="G21" i="3"/>
  <c r="F21" i="3"/>
  <c r="D21" i="3"/>
  <c r="C21" i="3"/>
  <c r="H20" i="3"/>
  <c r="E20" i="3"/>
  <c r="H19" i="3"/>
  <c r="G19" i="3"/>
  <c r="H14" i="3"/>
  <c r="G14" i="3"/>
  <c r="F14" i="3"/>
  <c r="E14" i="3"/>
  <c r="D14" i="3"/>
  <c r="C14" i="3"/>
  <c r="H13" i="3"/>
  <c r="E13" i="3"/>
  <c r="D13" i="3"/>
  <c r="H12" i="3"/>
  <c r="E12" i="3"/>
  <c r="H11" i="3"/>
  <c r="G11" i="3"/>
  <c r="H10" i="3"/>
  <c r="F10" i="3"/>
  <c r="H9" i="3"/>
  <c r="D9" i="3"/>
  <c r="H8" i="3"/>
  <c r="D8" i="3"/>
  <c r="G34" i="22" l="1"/>
  <c r="O34" i="22"/>
  <c r="P6" i="22"/>
  <c r="P37" i="22"/>
  <c r="P54" i="22"/>
  <c r="P62" i="22"/>
  <c r="P94" i="22"/>
  <c r="P102" i="22"/>
  <c r="K34" i="22"/>
  <c r="P80" i="22"/>
  <c r="P84" i="22"/>
  <c r="P100" i="22"/>
  <c r="J121" i="24"/>
  <c r="J122" i="24" s="1"/>
  <c r="P49" i="24"/>
  <c r="P51" i="24"/>
  <c r="P53" i="24"/>
  <c r="P59" i="24"/>
  <c r="P61" i="24"/>
  <c r="P63" i="24"/>
  <c r="P80" i="24"/>
  <c r="P86" i="24"/>
  <c r="P88" i="24"/>
  <c r="P96" i="24"/>
  <c r="P104" i="24"/>
  <c r="P106" i="24"/>
  <c r="P108" i="24"/>
  <c r="P5" i="24"/>
  <c r="T38" i="24"/>
  <c r="T39" i="24" s="1"/>
  <c r="P7" i="24"/>
  <c r="P9" i="24"/>
  <c r="P12" i="24"/>
  <c r="P8" i="22"/>
  <c r="P46" i="22"/>
  <c r="P68" i="22"/>
  <c r="P76" i="22"/>
  <c r="P78" i="22"/>
  <c r="P92" i="22"/>
  <c r="F121" i="24"/>
  <c r="F122" i="24" s="1"/>
  <c r="N121" i="24"/>
  <c r="N122" i="24" s="1"/>
  <c r="P47" i="24"/>
  <c r="P55" i="24"/>
  <c r="G17" i="23" s="1"/>
  <c r="H17" i="23" s="1"/>
  <c r="P57" i="24"/>
  <c r="P78" i="24"/>
  <c r="P82" i="24"/>
  <c r="P84" i="24"/>
  <c r="P90" i="24"/>
  <c r="P92" i="24"/>
  <c r="P94" i="24"/>
  <c r="P98" i="24"/>
  <c r="P100" i="24"/>
  <c r="P102" i="24"/>
  <c r="P110" i="24"/>
  <c r="H38" i="24"/>
  <c r="U38" i="24"/>
  <c r="U39" i="24" s="1"/>
  <c r="I38" i="24"/>
  <c r="P15" i="24"/>
  <c r="P19" i="24"/>
  <c r="P21" i="24"/>
  <c r="L34" i="22"/>
  <c r="K106" i="13"/>
  <c r="K107" i="13" s="1"/>
  <c r="E38" i="24"/>
  <c r="M38" i="24"/>
  <c r="P17" i="24"/>
  <c r="D34" i="22"/>
  <c r="H34" i="22"/>
  <c r="F38" i="24"/>
  <c r="J38" i="24"/>
  <c r="N38" i="24"/>
  <c r="P6" i="24"/>
  <c r="P8" i="24"/>
  <c r="P10" i="24"/>
  <c r="P13" i="24"/>
  <c r="P65" i="24"/>
  <c r="P73" i="24"/>
  <c r="G30" i="23" s="1"/>
  <c r="H30" i="23" s="1"/>
  <c r="L38" i="24"/>
  <c r="G38" i="24"/>
  <c r="K38" i="24"/>
  <c r="O38" i="24"/>
  <c r="P11" i="24"/>
  <c r="P16" i="24"/>
  <c r="P18" i="24"/>
  <c r="P20" i="24"/>
  <c r="P22" i="24"/>
  <c r="P24" i="24"/>
  <c r="P26" i="24"/>
  <c r="P28" i="24"/>
  <c r="P32" i="24"/>
  <c r="P34" i="24"/>
  <c r="P112" i="24"/>
  <c r="P114" i="24"/>
  <c r="P116" i="24"/>
  <c r="P118" i="24"/>
  <c r="P14" i="22"/>
  <c r="P24" i="22"/>
  <c r="G114" i="22"/>
  <c r="K114" i="22"/>
  <c r="O114" i="22"/>
  <c r="P105" i="22"/>
  <c r="C29" i="20" s="1"/>
  <c r="E20" i="18"/>
  <c r="U28" i="13"/>
  <c r="U29" i="13" s="1"/>
  <c r="G28" i="13"/>
  <c r="P26" i="13"/>
  <c r="P37" i="13"/>
  <c r="T106" i="13"/>
  <c r="T107" i="13" s="1"/>
  <c r="F106" i="13"/>
  <c r="F107" i="13" s="1"/>
  <c r="P39" i="13"/>
  <c r="V39" i="13" s="1"/>
  <c r="P41" i="13"/>
  <c r="P45" i="13"/>
  <c r="V45" i="13" s="1"/>
  <c r="P47" i="13"/>
  <c r="F8" i="18" s="1"/>
  <c r="P51" i="13"/>
  <c r="P55" i="13"/>
  <c r="P61" i="13"/>
  <c r="P63" i="13"/>
  <c r="V63" i="13" s="1"/>
  <c r="G32" i="8" s="1"/>
  <c r="H32" i="8" s="1"/>
  <c r="P71" i="13"/>
  <c r="V71" i="13" s="1"/>
  <c r="E20" i="8" s="1"/>
  <c r="P73" i="13"/>
  <c r="P75" i="13"/>
  <c r="P77" i="13"/>
  <c r="P81" i="13"/>
  <c r="P89" i="13"/>
  <c r="V89" i="13" s="1"/>
  <c r="P91" i="13"/>
  <c r="P93" i="13"/>
  <c r="P95" i="13"/>
  <c r="P97" i="13"/>
  <c r="P6" i="19"/>
  <c r="S6" i="19" s="1"/>
  <c r="P10" i="19"/>
  <c r="Q10" i="19" s="1"/>
  <c r="P14" i="19"/>
  <c r="S14" i="19" s="1"/>
  <c r="P16" i="19"/>
  <c r="P18" i="19"/>
  <c r="C10" i="9" s="1"/>
  <c r="P34" i="19"/>
  <c r="P41" i="19"/>
  <c r="S41" i="19" s="1"/>
  <c r="P43" i="19"/>
  <c r="P47" i="19"/>
  <c r="S47" i="19" s="1"/>
  <c r="P51" i="19"/>
  <c r="S51" i="19" s="1"/>
  <c r="P55" i="19"/>
  <c r="S55" i="19" s="1"/>
  <c r="P59" i="19"/>
  <c r="S59" i="19" s="1"/>
  <c r="P63" i="19"/>
  <c r="S63" i="19" s="1"/>
  <c r="P67" i="19"/>
  <c r="S67" i="19" s="1"/>
  <c r="P71" i="19"/>
  <c r="S71" i="19" s="1"/>
  <c r="P93" i="19"/>
  <c r="S93" i="19" s="1"/>
  <c r="P23" i="24"/>
  <c r="P25" i="24"/>
  <c r="P27" i="24"/>
  <c r="P29" i="24"/>
  <c r="P31" i="24"/>
  <c r="P33" i="24"/>
  <c r="P35" i="24"/>
  <c r="P37" i="24"/>
  <c r="P40" i="24"/>
  <c r="L121" i="24"/>
  <c r="L122" i="24" s="1"/>
  <c r="P42" i="24"/>
  <c r="P44" i="24"/>
  <c r="H121" i="24"/>
  <c r="H122" i="24" s="1"/>
  <c r="P66" i="24"/>
  <c r="P68" i="24"/>
  <c r="P70" i="24"/>
  <c r="P72" i="24"/>
  <c r="E24" i="23" s="1"/>
  <c r="H24" i="23" s="1"/>
  <c r="P74" i="24"/>
  <c r="P7" i="22"/>
  <c r="J34" i="22"/>
  <c r="P10" i="22"/>
  <c r="P38" i="22"/>
  <c r="P40" i="22"/>
  <c r="P42" i="22"/>
  <c r="P44" i="22"/>
  <c r="P47" i="22"/>
  <c r="P49" i="22"/>
  <c r="P51" i="22"/>
  <c r="P53" i="22"/>
  <c r="P55" i="22"/>
  <c r="P57" i="22"/>
  <c r="P59" i="22"/>
  <c r="C22" i="20" s="1"/>
  <c r="P61" i="22"/>
  <c r="P63" i="22"/>
  <c r="P65" i="22"/>
  <c r="P67" i="22"/>
  <c r="P69" i="22"/>
  <c r="P71" i="22"/>
  <c r="P73" i="22"/>
  <c r="P75" i="22"/>
  <c r="P79" i="22"/>
  <c r="P83" i="22"/>
  <c r="P85" i="22"/>
  <c r="P87" i="22"/>
  <c r="P89" i="22"/>
  <c r="P91" i="22"/>
  <c r="P95" i="22"/>
  <c r="P99" i="22"/>
  <c r="P101" i="22"/>
  <c r="H30" i="8"/>
  <c r="G2" i="15"/>
  <c r="G3" i="15"/>
  <c r="H3" i="15" s="1"/>
  <c r="F43" i="16"/>
  <c r="G27" i="8" s="1"/>
  <c r="D43" i="16"/>
  <c r="G9" i="16"/>
  <c r="G16" i="16"/>
  <c r="E7" i="18"/>
  <c r="F7" i="18" s="1"/>
  <c r="F28" i="13"/>
  <c r="J28" i="13"/>
  <c r="N28" i="13"/>
  <c r="P5" i="13"/>
  <c r="T28" i="13"/>
  <c r="P9" i="13"/>
  <c r="P11" i="13"/>
  <c r="P13" i="13"/>
  <c r="P15" i="13"/>
  <c r="P17" i="13"/>
  <c r="P24" i="13"/>
  <c r="V24" i="13" s="1"/>
  <c r="E13" i="8" s="1"/>
  <c r="E106" i="13"/>
  <c r="E107" i="13" s="1"/>
  <c r="I106" i="13"/>
  <c r="I107" i="13" s="1"/>
  <c r="M106" i="13"/>
  <c r="M107" i="13" s="1"/>
  <c r="E30" i="19"/>
  <c r="U30" i="19"/>
  <c r="U107" i="19" s="1"/>
  <c r="P19" i="19"/>
  <c r="U104" i="19"/>
  <c r="U121" i="24"/>
  <c r="U122" i="24" s="1"/>
  <c r="P50" i="24"/>
  <c r="P58" i="24"/>
  <c r="P77" i="24"/>
  <c r="P85" i="24"/>
  <c r="P93" i="24"/>
  <c r="P101" i="24"/>
  <c r="P109" i="24"/>
  <c r="P117" i="24"/>
  <c r="F34" i="22"/>
  <c r="N34" i="22"/>
  <c r="P5" i="22"/>
  <c r="P9" i="22"/>
  <c r="P11" i="22"/>
  <c r="P13" i="22"/>
  <c r="P15" i="22"/>
  <c r="P17" i="22"/>
  <c r="P19" i="22"/>
  <c r="P21" i="22"/>
  <c r="P23" i="22"/>
  <c r="P108" i="22"/>
  <c r="H22" i="8"/>
  <c r="H23" i="8"/>
  <c r="H25" i="8"/>
  <c r="H28" i="8"/>
  <c r="H29" i="8"/>
  <c r="D15" i="15"/>
  <c r="G8" i="16"/>
  <c r="G15" i="16"/>
  <c r="G19" i="16"/>
  <c r="E18" i="18"/>
  <c r="O28" i="13"/>
  <c r="P27" i="13"/>
  <c r="V27" i="13" s="1"/>
  <c r="P31" i="13"/>
  <c r="N106" i="13"/>
  <c r="N107" i="13" s="1"/>
  <c r="P34" i="13"/>
  <c r="Q34" i="13" s="1"/>
  <c r="P36" i="13"/>
  <c r="P40" i="13"/>
  <c r="P44" i="13"/>
  <c r="V44" i="13" s="1"/>
  <c r="G19" i="8" s="1"/>
  <c r="P46" i="13"/>
  <c r="P50" i="13"/>
  <c r="P52" i="13"/>
  <c r="P56" i="13"/>
  <c r="P58" i="13"/>
  <c r="P60" i="13"/>
  <c r="P64" i="13"/>
  <c r="P66" i="13"/>
  <c r="P68" i="13"/>
  <c r="P70" i="13"/>
  <c r="P72" i="13"/>
  <c r="P74" i="13"/>
  <c r="P78" i="13"/>
  <c r="P82" i="13"/>
  <c r="P84" i="13"/>
  <c r="P86" i="13"/>
  <c r="P88" i="13"/>
  <c r="P90" i="13"/>
  <c r="P92" i="13"/>
  <c r="P98" i="13"/>
  <c r="P100" i="13"/>
  <c r="F9" i="18" s="1"/>
  <c r="F30" i="19"/>
  <c r="P7" i="19"/>
  <c r="Q7" i="19" s="1"/>
  <c r="P9" i="19"/>
  <c r="S9" i="19" s="1"/>
  <c r="P15" i="19"/>
  <c r="P17" i="19"/>
  <c r="S17" i="19" s="1"/>
  <c r="P38" i="19"/>
  <c r="S38" i="19" s="1"/>
  <c r="P74" i="19"/>
  <c r="S74" i="19" s="1"/>
  <c r="P76" i="19"/>
  <c r="S76" i="19" s="1"/>
  <c r="P78" i="19"/>
  <c r="S78" i="19" s="1"/>
  <c r="P80" i="19"/>
  <c r="S80" i="19" s="1"/>
  <c r="P82" i="19"/>
  <c r="S82" i="19" s="1"/>
  <c r="P84" i="19"/>
  <c r="S84" i="19" s="1"/>
  <c r="P86" i="19"/>
  <c r="S86" i="19" s="1"/>
  <c r="P88" i="19"/>
  <c r="S88" i="19" s="1"/>
  <c r="P92" i="19"/>
  <c r="S92" i="19" s="1"/>
  <c r="P94" i="19"/>
  <c r="S94" i="19" s="1"/>
  <c r="P70" i="22"/>
  <c r="P82" i="22"/>
  <c r="P96" i="22"/>
  <c r="P98" i="22"/>
  <c r="G21" i="8"/>
  <c r="G33" i="8" s="1"/>
  <c r="H109" i="13"/>
  <c r="V26" i="13"/>
  <c r="D13" i="8" s="1"/>
  <c r="D38" i="24"/>
  <c r="G121" i="24"/>
  <c r="G122" i="24" s="1"/>
  <c r="K121" i="24"/>
  <c r="K122" i="24" s="1"/>
  <c r="O121" i="24"/>
  <c r="O122" i="24" s="1"/>
  <c r="P41" i="24"/>
  <c r="P52" i="24"/>
  <c r="P60" i="24"/>
  <c r="P67" i="24"/>
  <c r="P87" i="24"/>
  <c r="P103" i="24"/>
  <c r="P4" i="22"/>
  <c r="U34" i="22"/>
  <c r="P105" i="24"/>
  <c r="P113" i="24"/>
  <c r="D121" i="24"/>
  <c r="D122" i="24" s="1"/>
  <c r="E34" i="22"/>
  <c r="I34" i="22"/>
  <c r="M34" i="22"/>
  <c r="P18" i="22"/>
  <c r="D114" i="22"/>
  <c r="H114" i="22"/>
  <c r="L114" i="22"/>
  <c r="P36" i="22"/>
  <c r="P39" i="22"/>
  <c r="P48" i="22"/>
  <c r="C26" i="20" s="1"/>
  <c r="P56" i="22"/>
  <c r="P64" i="22"/>
  <c r="P72" i="22"/>
  <c r="P77" i="22"/>
  <c r="C24" i="20" s="1"/>
  <c r="P86" i="22"/>
  <c r="P93" i="22"/>
  <c r="C26" i="9"/>
  <c r="D27" i="20"/>
  <c r="H20" i="8"/>
  <c r="E33" i="8"/>
  <c r="Q16" i="19"/>
  <c r="S16" i="19"/>
  <c r="Q18" i="19"/>
  <c r="P75" i="24"/>
  <c r="P79" i="24"/>
  <c r="P95" i="24"/>
  <c r="P111" i="24"/>
  <c r="P16" i="22"/>
  <c r="P43" i="24"/>
  <c r="P46" i="24"/>
  <c r="P54" i="24"/>
  <c r="P62" i="24"/>
  <c r="P69" i="24"/>
  <c r="P81" i="24"/>
  <c r="P89" i="24"/>
  <c r="P97" i="24"/>
  <c r="E121" i="24"/>
  <c r="E122" i="24" s="1"/>
  <c r="I121" i="24"/>
  <c r="I122" i="24" s="1"/>
  <c r="M121" i="24"/>
  <c r="M122" i="24" s="1"/>
  <c r="T121" i="24"/>
  <c r="T122" i="24" s="1"/>
  <c r="P45" i="24"/>
  <c r="P48" i="24"/>
  <c r="P56" i="24"/>
  <c r="P64" i="24"/>
  <c r="P71" i="24"/>
  <c r="P83" i="24"/>
  <c r="D18" i="23" s="1"/>
  <c r="H18" i="23" s="1"/>
  <c r="P91" i="24"/>
  <c r="P99" i="24"/>
  <c r="P107" i="24"/>
  <c r="P115" i="24"/>
  <c r="V34" i="22"/>
  <c r="P12" i="22"/>
  <c r="P20" i="22"/>
  <c r="E114" i="22"/>
  <c r="I114" i="22"/>
  <c r="M114" i="22"/>
  <c r="U114" i="22"/>
  <c r="P41" i="22"/>
  <c r="P50" i="22"/>
  <c r="P58" i="22"/>
  <c r="P66" i="22"/>
  <c r="P74" i="22"/>
  <c r="P81" i="22"/>
  <c r="P88" i="22"/>
  <c r="P90" i="22"/>
  <c r="P97" i="22"/>
  <c r="H2" i="15"/>
  <c r="N109" i="13"/>
  <c r="T29" i="13"/>
  <c r="V15" i="13"/>
  <c r="G11" i="8" s="1"/>
  <c r="S19" i="19"/>
  <c r="Q19" i="19"/>
  <c r="P22" i="22"/>
  <c r="F114" i="22"/>
  <c r="J114" i="22"/>
  <c r="N114" i="22"/>
  <c r="V114" i="22"/>
  <c r="P43" i="22"/>
  <c r="P52" i="22"/>
  <c r="P60" i="22"/>
  <c r="C27" i="20" s="1"/>
  <c r="C20" i="9"/>
  <c r="D21" i="20"/>
  <c r="C23" i="9"/>
  <c r="D24" i="20"/>
  <c r="H19" i="8"/>
  <c r="S15" i="19"/>
  <c r="Q15" i="19"/>
  <c r="B15" i="15"/>
  <c r="C21" i="8" s="1"/>
  <c r="C43" i="16"/>
  <c r="D27" i="8" s="1"/>
  <c r="B43" i="16"/>
  <c r="C27" i="8" s="1"/>
  <c r="B23" i="18"/>
  <c r="P4" i="13"/>
  <c r="P8" i="13"/>
  <c r="G106" i="13"/>
  <c r="G107" i="13" s="1"/>
  <c r="O106" i="13"/>
  <c r="O107" i="13" s="1"/>
  <c r="P38" i="13"/>
  <c r="P42" i="13"/>
  <c r="V42" i="13" s="1"/>
  <c r="P65" i="13"/>
  <c r="P83" i="13"/>
  <c r="P101" i="13"/>
  <c r="V101" i="13" s="1"/>
  <c r="G9" i="15"/>
  <c r="H9" i="15" s="1"/>
  <c r="C15" i="15"/>
  <c r="D21" i="8" s="1"/>
  <c r="D33" i="8" s="1"/>
  <c r="G4" i="16"/>
  <c r="C23" i="18"/>
  <c r="G24" i="8" s="1"/>
  <c r="P7" i="13"/>
  <c r="P19" i="13"/>
  <c r="V20" i="13" s="1"/>
  <c r="F10" i="8" s="1"/>
  <c r="D106" i="13"/>
  <c r="D107" i="13" s="1"/>
  <c r="L106" i="13"/>
  <c r="L107" i="13" s="1"/>
  <c r="P30" i="13"/>
  <c r="P33" i="13"/>
  <c r="V33" i="13" s="1"/>
  <c r="P35" i="13"/>
  <c r="P49" i="13"/>
  <c r="P54" i="13"/>
  <c r="P57" i="13"/>
  <c r="V58" i="13" s="1"/>
  <c r="P62" i="13"/>
  <c r="V62" i="13" s="1"/>
  <c r="F26" i="8" s="1"/>
  <c r="H26" i="8" s="1"/>
  <c r="P67" i="13"/>
  <c r="P80" i="13"/>
  <c r="P85" i="13"/>
  <c r="P103" i="13"/>
  <c r="V103" i="13" s="1"/>
  <c r="D30" i="19"/>
  <c r="H30" i="19"/>
  <c r="L30" i="19"/>
  <c r="P4" i="19"/>
  <c r="P5" i="19"/>
  <c r="S10" i="19"/>
  <c r="P35" i="19"/>
  <c r="E43" i="16"/>
  <c r="F27" i="8" s="1"/>
  <c r="F109" i="13"/>
  <c r="Q14" i="19"/>
  <c r="G104" i="19"/>
  <c r="K104" i="19"/>
  <c r="O104" i="19"/>
  <c r="G2" i="16"/>
  <c r="G11" i="16"/>
  <c r="E15" i="18"/>
  <c r="K28" i="13"/>
  <c r="K109" i="13" s="1"/>
  <c r="P12" i="13"/>
  <c r="P21" i="13"/>
  <c r="V21" i="13" s="1"/>
  <c r="E12" i="8" s="1"/>
  <c r="J106" i="13"/>
  <c r="J107" i="13" s="1"/>
  <c r="U106" i="13"/>
  <c r="U107" i="13" s="1"/>
  <c r="P32" i="13"/>
  <c r="P48" i="13"/>
  <c r="P53" i="13"/>
  <c r="P76" i="13"/>
  <c r="V76" i="13" s="1"/>
  <c r="P94" i="13"/>
  <c r="P99" i="13"/>
  <c r="J30" i="19"/>
  <c r="N30" i="19"/>
  <c r="Q17" i="19"/>
  <c r="P20" i="19"/>
  <c r="E28" i="13"/>
  <c r="I28" i="13"/>
  <c r="I109" i="13" s="1"/>
  <c r="M28" i="13"/>
  <c r="M109" i="13" s="1"/>
  <c r="P43" i="13"/>
  <c r="P59" i="13"/>
  <c r="P69" i="13"/>
  <c r="P87" i="13"/>
  <c r="P102" i="13"/>
  <c r="F6" i="18" s="1"/>
  <c r="T30" i="19"/>
  <c r="P8" i="19"/>
  <c r="D104" i="19"/>
  <c r="H104" i="19"/>
  <c r="L104" i="19"/>
  <c r="P32" i="19"/>
  <c r="P33" i="19"/>
  <c r="S33" i="19" s="1"/>
  <c r="P37" i="19"/>
  <c r="S37" i="19" s="1"/>
  <c r="P12" i="19"/>
  <c r="E104" i="19"/>
  <c r="E107" i="19" s="1"/>
  <c r="I104" i="19"/>
  <c r="M104" i="19"/>
  <c r="M107" i="19" s="1"/>
  <c r="P79" i="13"/>
  <c r="P96" i="13"/>
  <c r="I30" i="19"/>
  <c r="I107" i="19" s="1"/>
  <c r="P11" i="19"/>
  <c r="P39" i="19"/>
  <c r="S39" i="19" s="1"/>
  <c r="P42" i="19"/>
  <c r="S42" i="19" s="1"/>
  <c r="P46" i="19"/>
  <c r="S46" i="19" s="1"/>
  <c r="P50" i="19"/>
  <c r="S50" i="19" s="1"/>
  <c r="P54" i="19"/>
  <c r="S54" i="19" s="1"/>
  <c r="P58" i="19"/>
  <c r="S58" i="19" s="1"/>
  <c r="P62" i="19"/>
  <c r="S62" i="19" s="1"/>
  <c r="P66" i="19"/>
  <c r="S66" i="19" s="1"/>
  <c r="P70" i="19"/>
  <c r="S70" i="19" s="1"/>
  <c r="P45" i="19"/>
  <c r="S45" i="19" s="1"/>
  <c r="P49" i="19"/>
  <c r="S49" i="19" s="1"/>
  <c r="P53" i="19"/>
  <c r="S53" i="19" s="1"/>
  <c r="P57" i="19"/>
  <c r="S57" i="19" s="1"/>
  <c r="P61" i="19"/>
  <c r="S61" i="19" s="1"/>
  <c r="P65" i="19"/>
  <c r="S65" i="19" s="1"/>
  <c r="P69" i="19"/>
  <c r="S69" i="19" s="1"/>
  <c r="P73" i="19"/>
  <c r="S73" i="19" s="1"/>
  <c r="P75" i="19"/>
  <c r="S75" i="19" s="1"/>
  <c r="P77" i="19"/>
  <c r="S77" i="19" s="1"/>
  <c r="P79" i="19"/>
  <c r="S79" i="19" s="1"/>
  <c r="P81" i="19"/>
  <c r="S81" i="19" s="1"/>
  <c r="P83" i="19"/>
  <c r="S83" i="19" s="1"/>
  <c r="P85" i="19"/>
  <c r="S85" i="19" s="1"/>
  <c r="P87" i="19"/>
  <c r="S87" i="19" s="1"/>
  <c r="P89" i="19"/>
  <c r="S89" i="19" s="1"/>
  <c r="P91" i="19"/>
  <c r="S91" i="19" s="1"/>
  <c r="G30" i="19"/>
  <c r="K30" i="19"/>
  <c r="O30" i="19"/>
  <c r="P13" i="19"/>
  <c r="F104" i="19"/>
  <c r="F107" i="19" s="1"/>
  <c r="J104" i="19"/>
  <c r="N104" i="19"/>
  <c r="T104" i="19"/>
  <c r="P36" i="19"/>
  <c r="S36" i="19" s="1"/>
  <c r="P40" i="19"/>
  <c r="S40" i="19" s="1"/>
  <c r="P44" i="19"/>
  <c r="S44" i="19" s="1"/>
  <c r="P48" i="19"/>
  <c r="S48" i="19" s="1"/>
  <c r="P52" i="19"/>
  <c r="S52" i="19" s="1"/>
  <c r="P56" i="19"/>
  <c r="S56" i="19" s="1"/>
  <c r="P60" i="19"/>
  <c r="S60" i="19" s="1"/>
  <c r="P64" i="19"/>
  <c r="S64" i="19" s="1"/>
  <c r="P68" i="19"/>
  <c r="S68" i="19" s="1"/>
  <c r="P72" i="19"/>
  <c r="S72" i="19" s="1"/>
  <c r="P90" i="19"/>
  <c r="S90" i="19" s="1"/>
  <c r="E9" i="20"/>
  <c r="J9" i="23" s="1"/>
  <c r="J14" i="23" s="1"/>
  <c r="B32" i="23"/>
  <c r="B34" i="23" s="1"/>
  <c r="H27" i="23"/>
  <c r="H21" i="23"/>
  <c r="H20" i="23"/>
  <c r="J32" i="23"/>
  <c r="C32" i="23"/>
  <c r="H19" i="23"/>
  <c r="H28" i="23"/>
  <c r="H23" i="23"/>
  <c r="H25" i="23"/>
  <c r="H26" i="23"/>
  <c r="F32" i="23"/>
  <c r="F34" i="23" s="1"/>
  <c r="G10" i="23" l="1"/>
  <c r="D12" i="23"/>
  <c r="N124" i="24"/>
  <c r="N125" i="24" s="1"/>
  <c r="D32" i="23"/>
  <c r="O117" i="22"/>
  <c r="C21" i="20"/>
  <c r="C8" i="23"/>
  <c r="H8" i="23" s="1"/>
  <c r="K117" i="22"/>
  <c r="G32" i="23"/>
  <c r="N117" i="22"/>
  <c r="E9" i="23"/>
  <c r="H9" i="23" s="1"/>
  <c r="C18" i="20"/>
  <c r="G117" i="22"/>
  <c r="J124" i="24"/>
  <c r="J125" i="24" s="1"/>
  <c r="C7" i="23"/>
  <c r="H7" i="23" s="1"/>
  <c r="C12" i="23"/>
  <c r="H12" i="23" s="1"/>
  <c r="H10" i="23"/>
  <c r="F124" i="24"/>
  <c r="F125" i="24" s="1"/>
  <c r="C19" i="20"/>
  <c r="D117" i="22"/>
  <c r="U124" i="24"/>
  <c r="U125" i="24" s="1"/>
  <c r="J117" i="22"/>
  <c r="P38" i="24"/>
  <c r="P39" i="24" s="1"/>
  <c r="H117" i="22"/>
  <c r="C17" i="9"/>
  <c r="D18" i="20"/>
  <c r="G107" i="19"/>
  <c r="G43" i="16"/>
  <c r="Q6" i="19"/>
  <c r="S18" i="19"/>
  <c r="U109" i="13"/>
  <c r="E117" i="22"/>
  <c r="E29" i="23"/>
  <c r="H29" i="23" s="1"/>
  <c r="H32" i="23" s="1"/>
  <c r="S43" i="19"/>
  <c r="C25" i="9"/>
  <c r="D26" i="20"/>
  <c r="V117" i="22"/>
  <c r="N107" i="19"/>
  <c r="S7" i="19"/>
  <c r="F31" i="8"/>
  <c r="H31" i="8" s="1"/>
  <c r="T109" i="13"/>
  <c r="P121" i="24"/>
  <c r="P122" i="24" s="1"/>
  <c r="D124" i="24"/>
  <c r="D125" i="24" s="1"/>
  <c r="L124" i="24"/>
  <c r="L125" i="24" s="1"/>
  <c r="D11" i="23"/>
  <c r="H11" i="23" s="1"/>
  <c r="H107" i="19"/>
  <c r="E109" i="13"/>
  <c r="J107" i="19"/>
  <c r="F117" i="22"/>
  <c r="C8" i="20"/>
  <c r="C9" i="20"/>
  <c r="L117" i="22"/>
  <c r="D109" i="13"/>
  <c r="C18" i="9"/>
  <c r="C24" i="9"/>
  <c r="D25" i="20"/>
  <c r="H124" i="24"/>
  <c r="H125" i="24" s="1"/>
  <c r="C17" i="20"/>
  <c r="G124" i="24"/>
  <c r="G125" i="24" s="1"/>
  <c r="P28" i="13"/>
  <c r="W7" i="13"/>
  <c r="D8" i="8" s="1"/>
  <c r="Q13" i="19"/>
  <c r="S13" i="19"/>
  <c r="C9" i="9"/>
  <c r="D9" i="20"/>
  <c r="S8" i="19"/>
  <c r="C8" i="9"/>
  <c r="Q8" i="19"/>
  <c r="D8" i="20"/>
  <c r="D107" i="19"/>
  <c r="E23" i="18"/>
  <c r="E25" i="18" s="1"/>
  <c r="F24" i="8"/>
  <c r="C25" i="20"/>
  <c r="P114" i="22"/>
  <c r="E14" i="8"/>
  <c r="E35" i="8" s="1"/>
  <c r="H12" i="8"/>
  <c r="M124" i="24"/>
  <c r="M125" i="24" s="1"/>
  <c r="P106" i="13"/>
  <c r="P107" i="13" s="1"/>
  <c r="G15" i="15"/>
  <c r="S5" i="19"/>
  <c r="Q5" i="19"/>
  <c r="O107" i="19"/>
  <c r="Q12" i="19"/>
  <c r="S12" i="19"/>
  <c r="H27" i="8"/>
  <c r="O109" i="13"/>
  <c r="F14" i="8"/>
  <c r="H10" i="8"/>
  <c r="M117" i="22"/>
  <c r="U117" i="22"/>
  <c r="L109" i="13"/>
  <c r="I124" i="24"/>
  <c r="I125" i="24" s="1"/>
  <c r="K124" i="24"/>
  <c r="K125" i="24" s="1"/>
  <c r="T124" i="24"/>
  <c r="T125" i="24" s="1"/>
  <c r="C33" i="8"/>
  <c r="H21" i="8"/>
  <c r="Q32" i="19"/>
  <c r="Q104" i="19" s="1"/>
  <c r="P104" i="19"/>
  <c r="S104" i="19" s="1"/>
  <c r="S32" i="19"/>
  <c r="V55" i="13"/>
  <c r="E32" i="23"/>
  <c r="T107" i="19"/>
  <c r="Q4" i="19"/>
  <c r="P30" i="19"/>
  <c r="C7" i="9"/>
  <c r="S4" i="19"/>
  <c r="D7" i="20"/>
  <c r="C21" i="9"/>
  <c r="D22" i="20"/>
  <c r="K107" i="19"/>
  <c r="S11" i="19"/>
  <c r="Q11" i="19"/>
  <c r="S20" i="19"/>
  <c r="Q20" i="19"/>
  <c r="D10" i="20"/>
  <c r="Q99" i="13"/>
  <c r="F10" i="18"/>
  <c r="L107" i="19"/>
  <c r="W12" i="13"/>
  <c r="D9" i="8" s="1"/>
  <c r="H9" i="8" s="1"/>
  <c r="H11" i="8"/>
  <c r="G14" i="8"/>
  <c r="G35" i="8" s="1"/>
  <c r="J109" i="13"/>
  <c r="C10" i="20"/>
  <c r="G109" i="13"/>
  <c r="I117" i="22"/>
  <c r="P34" i="22"/>
  <c r="C7" i="20"/>
  <c r="H13" i="8"/>
  <c r="O124" i="24"/>
  <c r="O125" i="24" s="1"/>
  <c r="E124" i="24"/>
  <c r="E125" i="24" s="1"/>
  <c r="E14" i="20"/>
  <c r="E36" i="20" s="1"/>
  <c r="J34" i="23"/>
  <c r="D38" i="23" l="1"/>
  <c r="G14" i="23"/>
  <c r="G34" i="23" s="1"/>
  <c r="E14" i="23"/>
  <c r="C14" i="23"/>
  <c r="C34" i="23" s="1"/>
  <c r="H14" i="23"/>
  <c r="P124" i="24"/>
  <c r="E34" i="23"/>
  <c r="C14" i="20"/>
  <c r="D14" i="23"/>
  <c r="D34" i="23" s="1"/>
  <c r="P125" i="24"/>
  <c r="P117" i="22"/>
  <c r="P121" i="22" s="1"/>
  <c r="D122" i="22" s="1"/>
  <c r="B38" i="23"/>
  <c r="H34" i="23"/>
  <c r="C38" i="23"/>
  <c r="C13" i="9"/>
  <c r="C31" i="9" s="1"/>
  <c r="C39" i="9" s="1"/>
  <c r="D14" i="20"/>
  <c r="Q30" i="19"/>
  <c r="Q107" i="19" s="1"/>
  <c r="C16" i="9"/>
  <c r="C29" i="9" s="1"/>
  <c r="J21" i="8"/>
  <c r="D17" i="20"/>
  <c r="D34" i="20" s="1"/>
  <c r="D23" i="20"/>
  <c r="C22" i="9"/>
  <c r="H33" i="8"/>
  <c r="D39" i="8" s="1"/>
  <c r="D14" i="8"/>
  <c r="D35" i="8" s="1"/>
  <c r="H8" i="8"/>
  <c r="H14" i="8" s="1"/>
  <c r="C35" i="8"/>
  <c r="H24" i="8"/>
  <c r="F33" i="8"/>
  <c r="Q28" i="13"/>
  <c r="P29" i="13"/>
  <c r="P109" i="13"/>
  <c r="L7" i="8"/>
  <c r="F35" i="8"/>
  <c r="S30" i="19"/>
  <c r="S107" i="19" s="1"/>
  <c r="P107" i="19"/>
  <c r="C34" i="20"/>
  <c r="C36" i="20" s="1"/>
  <c r="C45" i="20" s="1"/>
  <c r="E38" i="23" l="1"/>
  <c r="S2" i="22"/>
  <c r="E39" i="8"/>
  <c r="C39" i="8"/>
  <c r="F39" i="8" s="1"/>
  <c r="Q109" i="13"/>
  <c r="Q29" i="13"/>
  <c r="H35" i="8"/>
  <c r="H39" i="8" s="1"/>
  <c r="J14" i="8"/>
  <c r="L8" i="8"/>
  <c r="L9" i="8" s="1"/>
  <c r="C19" i="9"/>
  <c r="D20" i="20"/>
  <c r="D36"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Campbell</author>
  </authors>
  <commentList>
    <comment ref="A20" authorId="0" shapeId="0" xr:uid="{00000000-0006-0000-0000-000001000000}">
      <text>
        <r>
          <rPr>
            <b/>
            <sz val="9"/>
            <color indexed="81"/>
            <rFont val="Tahoma"/>
            <family val="2"/>
          </rPr>
          <t>Stephanie Campbell:</t>
        </r>
        <r>
          <rPr>
            <sz val="9"/>
            <color indexed="81"/>
            <rFont val="Tahoma"/>
            <family val="2"/>
          </rPr>
          <t xml:space="preserve">
Mtg Disc #5203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Stephanie Campbell</author>
    <author>Carolyn Gibson</author>
  </authors>
  <commentList>
    <comment ref="P5" authorId="0" shapeId="0" xr:uid="{612BBF44-2427-4999-8895-A5DAE81D7012}">
      <text>
        <r>
          <rPr>
            <b/>
            <sz val="9"/>
            <color indexed="81"/>
            <rFont val="Tahoma"/>
            <charset val="1"/>
          </rPr>
          <t>Stephanie Campbell:</t>
        </r>
        <r>
          <rPr>
            <sz val="9"/>
            <color indexed="81"/>
            <rFont val="Tahoma"/>
            <charset val="1"/>
          </rPr>
          <t xml:space="preserve">
</t>
        </r>
      </text>
    </comment>
    <comment ref="P6" authorId="0" shapeId="0" xr:uid="{E63B828D-B808-4ABD-A7E6-05374ED57E87}">
      <text>
        <r>
          <rPr>
            <b/>
            <sz val="9"/>
            <color indexed="81"/>
            <rFont val="Tahoma"/>
            <charset val="1"/>
          </rPr>
          <t>Stephanie Campbell:</t>
        </r>
        <r>
          <rPr>
            <sz val="9"/>
            <color indexed="81"/>
            <rFont val="Tahoma"/>
            <charset val="1"/>
          </rPr>
          <t xml:space="preserve">
per email from Iain and w/FC recommendation reduce 4020 for AAD (starting in Jan - June)
also to reduce happy hours (starting in Jan - June)</t>
        </r>
      </text>
    </comment>
    <comment ref="P7" authorId="0" shapeId="0" xr:uid="{68510139-D1F3-437E-8C4C-4CC2159BA0DD}">
      <text>
        <r>
          <rPr>
            <b/>
            <sz val="9"/>
            <color indexed="81"/>
            <rFont val="Tahoma"/>
            <charset val="1"/>
          </rPr>
          <t>Stephanie Campbell:</t>
        </r>
        <r>
          <rPr>
            <sz val="9"/>
            <color indexed="81"/>
            <rFont val="Tahoma"/>
            <charset val="1"/>
          </rPr>
          <t xml:space="preserve">
per email from Iain and recommendation from FC 5-18 reduce this line for 10%</t>
        </r>
      </text>
    </comment>
    <comment ref="P16" authorId="0" shapeId="0" xr:uid="{E73E12C4-0C6E-4A00-9E63-EAC54E92CF2B}">
      <text>
        <r>
          <rPr>
            <b/>
            <sz val="9"/>
            <color indexed="81"/>
            <rFont val="Tahoma"/>
            <family val="2"/>
          </rPr>
          <t>Stephanie Campbell:</t>
        </r>
        <r>
          <rPr>
            <sz val="9"/>
            <color indexed="81"/>
            <rFont val="Tahoma"/>
            <family val="2"/>
          </rPr>
          <t xml:space="preserve">
reclassed clark land to #4170</t>
        </r>
      </text>
    </comment>
    <comment ref="P17" authorId="0" shapeId="0" xr:uid="{9F3AB669-BF6B-4619-BC38-DCFCB55FE509}">
      <text>
        <r>
          <rPr>
            <b/>
            <sz val="9"/>
            <color indexed="81"/>
            <rFont val="Tahoma"/>
            <family val="2"/>
          </rPr>
          <t>Stephanie Campbell:</t>
        </r>
        <r>
          <rPr>
            <sz val="9"/>
            <color indexed="81"/>
            <rFont val="Tahoma"/>
            <family val="2"/>
          </rPr>
          <t xml:space="preserve">
SC tap fees 3X6500
app fee 2X750 (815/819)
legal fee 6000
clark land 6X1000
general underestimated $10K (est decision made by Stephanie)</t>
        </r>
      </text>
    </comment>
    <comment ref="P39" authorId="1" shapeId="0" xr:uid="{1150D4AC-044B-4301-947E-12788B551963}">
      <text>
        <r>
          <rPr>
            <b/>
            <sz val="9"/>
            <color indexed="81"/>
            <rFont val="Tahoma"/>
            <family val="2"/>
          </rPr>
          <t>Carolyn Gibson:</t>
        </r>
        <r>
          <rPr>
            <sz val="9"/>
            <color indexed="81"/>
            <rFont val="Tahoma"/>
            <family val="2"/>
          </rPr>
          <t xml:space="preserve">
Rounding due to decimal supression
edits made to #4010/4020/4030</t>
        </r>
      </text>
    </comment>
    <comment ref="C50" authorId="0" shapeId="0" xr:uid="{26106286-FDA4-4580-B6CA-6024F4861A12}">
      <text>
        <r>
          <rPr>
            <b/>
            <sz val="9"/>
            <color indexed="81"/>
            <rFont val="Tahoma"/>
            <family val="2"/>
          </rPr>
          <t>Stephanie Campbell:</t>
        </r>
        <r>
          <rPr>
            <sz val="9"/>
            <color indexed="81"/>
            <rFont val="Tahoma"/>
            <family val="2"/>
          </rPr>
          <t xml:space="preserve">
not included in cash budget due to bank w/holding from cash being received - so no actual cash out only a P&amp;L item
omitted the 5204-1 fees of $11K from the cash budget</t>
        </r>
      </text>
    </comment>
    <comment ref="C76" authorId="0" shapeId="0" xr:uid="{EA9CF031-44D9-4F1E-BDE3-4B93E7999EB7}">
      <text>
        <r>
          <rPr>
            <b/>
            <sz val="9"/>
            <color indexed="81"/>
            <rFont val="Tahoma"/>
            <charset val="1"/>
          </rPr>
          <t>Stephanie Campbell:</t>
        </r>
        <r>
          <rPr>
            <sz val="9"/>
            <color indexed="81"/>
            <rFont val="Tahoma"/>
            <charset val="1"/>
          </rPr>
          <t xml:space="preserve">
per the FC mtg 5-18-20 add this line as a precautionary exp</t>
        </r>
      </text>
    </comment>
    <comment ref="P122" authorId="1" shapeId="0" xr:uid="{A62B5046-83A8-4B35-BB08-1A3A572143E1}">
      <text>
        <r>
          <rPr>
            <b/>
            <sz val="9"/>
            <color indexed="81"/>
            <rFont val="Tahoma"/>
            <family val="2"/>
          </rPr>
          <t>Carolyn Gibson:</t>
        </r>
        <r>
          <rPr>
            <sz val="9"/>
            <color indexed="81"/>
            <rFont val="Tahoma"/>
            <family val="2"/>
          </rPr>
          <t xml:space="preserve">
Rounding due to decimal supression
edits made to lines:  76 and 48/5361</t>
        </r>
      </text>
    </comment>
    <comment ref="P125" authorId="1" shapeId="0" xr:uid="{5BA09528-81EC-4E51-9EB4-D594FA0191DC}">
      <text>
        <r>
          <rPr>
            <b/>
            <sz val="9"/>
            <color indexed="81"/>
            <rFont val="Tahoma"/>
            <family val="2"/>
          </rPr>
          <t>Carolyn Gibson:</t>
        </r>
        <r>
          <rPr>
            <sz val="9"/>
            <color indexed="81"/>
            <rFont val="Tahoma"/>
            <family val="2"/>
          </rPr>
          <t xml:space="preserve">
Rounding due to decimal supression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Carolyn Gibson</author>
  </authors>
  <commentList>
    <comment ref="D38" authorId="0" shapeId="0" xr:uid="{AB9FA9E2-BDD8-4E0A-8224-A532B76F97A6}">
      <text>
        <r>
          <rPr>
            <b/>
            <sz val="9"/>
            <color indexed="81"/>
            <rFont val="Tahoma"/>
            <family val="2"/>
          </rPr>
          <t>Carolyn Gibson:</t>
        </r>
        <r>
          <rPr>
            <sz val="9"/>
            <color indexed="81"/>
            <rFont val="Tahoma"/>
            <family val="2"/>
          </rPr>
          <t xml:space="preserve">
Removed 60k. Please update for what's needed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Stephanie Campbell</author>
    <author>Carolyn Gibson</author>
  </authors>
  <commentList>
    <comment ref="P4" authorId="0" shapeId="0" xr:uid="{CAF196DF-D823-408A-AC1F-E4E6B4A2795B}">
      <text>
        <r>
          <rPr>
            <b/>
            <sz val="9"/>
            <color indexed="81"/>
            <rFont val="Tahoma"/>
            <charset val="1"/>
          </rPr>
          <t>Stephanie Campbell:</t>
        </r>
        <r>
          <rPr>
            <sz val="9"/>
            <color indexed="81"/>
            <rFont val="Tahoma"/>
            <charset val="1"/>
          </rPr>
          <t xml:space="preserve">
per email from Iain and recommendation from FC 5-18 reduce this line for happy hours (starting in Jan - June)</t>
        </r>
      </text>
    </comment>
    <comment ref="P5" authorId="0" shapeId="0" xr:uid="{25BACF06-B1E2-40FB-97D2-F8F924FB64D4}">
      <text>
        <r>
          <rPr>
            <b/>
            <sz val="9"/>
            <color indexed="81"/>
            <rFont val="Tahoma"/>
            <charset val="1"/>
          </rPr>
          <t>Stephanie Campbell:</t>
        </r>
        <r>
          <rPr>
            <sz val="9"/>
            <color indexed="81"/>
            <rFont val="Tahoma"/>
            <charset val="1"/>
          </rPr>
          <t xml:space="preserve">
per email from Iain and w/FC recommendation reduce 4020 for AAD (starting in Jan - June)
also to reduce happy hours (starting in Jan - June)</t>
        </r>
      </text>
    </comment>
    <comment ref="P6" authorId="0" shapeId="0" xr:uid="{40F2C59C-6E04-4B1E-AE7B-074B7587A14F}">
      <text>
        <r>
          <rPr>
            <b/>
            <sz val="9"/>
            <color indexed="81"/>
            <rFont val="Tahoma"/>
            <charset val="1"/>
          </rPr>
          <t>Stephanie Campbell:</t>
        </r>
        <r>
          <rPr>
            <sz val="9"/>
            <color indexed="81"/>
            <rFont val="Tahoma"/>
            <charset val="1"/>
          </rPr>
          <t xml:space="preserve">
per email from Iain and recommendation from FC 5-18 reduce this line for 10%</t>
        </r>
      </text>
    </comment>
    <comment ref="P8" authorId="0" shapeId="0" xr:uid="{6BAEEF59-066C-48B6-9CC0-CF34C8833006}">
      <text>
        <r>
          <rPr>
            <b/>
            <sz val="9"/>
            <color indexed="81"/>
            <rFont val="Tahoma"/>
            <family val="2"/>
          </rPr>
          <t>Stephanie Campbell:</t>
        </r>
        <r>
          <rPr>
            <sz val="9"/>
            <color indexed="81"/>
            <rFont val="Tahoma"/>
            <family val="2"/>
          </rPr>
          <t xml:space="preserve">
HFHI &amp; City, PPP</t>
        </r>
      </text>
    </comment>
    <comment ref="C25" authorId="1" shapeId="0" xr:uid="{E96532E4-20A6-4ED4-B564-B6D4307214CA}">
      <text>
        <r>
          <rPr>
            <b/>
            <sz val="9"/>
            <color indexed="81"/>
            <rFont val="Tahoma"/>
            <family val="2"/>
          </rPr>
          <t>Notes:</t>
        </r>
        <r>
          <rPr>
            <sz val="9"/>
            <color indexed="81"/>
            <rFont val="Tahoma"/>
            <family val="2"/>
          </rPr>
          <t xml:space="preserve">
Represents the Cash received in bank.  This is in lieu of adding 4636 (Gain/Loss on Mtg Sale(s)) as that would duplicate numbers</t>
        </r>
      </text>
    </comment>
    <comment ref="P44" authorId="0" shapeId="0" xr:uid="{5EBEE4D5-94FC-485D-9C43-1B0D37879BBF}">
      <text>
        <r>
          <rPr>
            <b/>
            <sz val="9"/>
            <color indexed="81"/>
            <rFont val="Tahoma"/>
            <charset val="1"/>
          </rPr>
          <t>Stephanie Campbell:</t>
        </r>
        <r>
          <rPr>
            <sz val="9"/>
            <color indexed="81"/>
            <rFont val="Tahoma"/>
            <charset val="1"/>
          </rPr>
          <t xml:space="preserve">
FC on 5-18 agreed with the recommendation the changes noted at bottom which includes reducing this line by $18 for lot paving of RS1 if needed to be reduced</t>
        </r>
      </text>
    </comment>
    <comment ref="C46" authorId="0" shapeId="0" xr:uid="{C0B08BDE-47BE-4B9A-A885-093E0DFBBFD2}">
      <text>
        <r>
          <rPr>
            <b/>
            <sz val="9"/>
            <color indexed="81"/>
            <rFont val="Tahoma"/>
            <family val="2"/>
          </rPr>
          <t>Stephanie Campbell:</t>
        </r>
        <r>
          <rPr>
            <sz val="9"/>
            <color indexed="81"/>
            <rFont val="Tahoma"/>
            <family val="2"/>
          </rPr>
          <t xml:space="preserve">
not included in cash budget due to bank w/holding from cash being received - so no actual cash out only a P&amp;L item
omitted in error the 5204-1 fees of $11K from the cash budget</t>
        </r>
      </text>
    </comment>
    <comment ref="P56" authorId="0" shapeId="0" xr:uid="{57679620-C060-434C-AF57-19DB24E14BFB}">
      <text>
        <r>
          <rPr>
            <b/>
            <sz val="9"/>
            <color indexed="81"/>
            <rFont val="Tahoma"/>
            <family val="2"/>
          </rPr>
          <t>Stephanie Campbell:</t>
        </r>
        <r>
          <rPr>
            <sz val="9"/>
            <color indexed="81"/>
            <rFont val="Tahoma"/>
            <family val="2"/>
          </rPr>
          <t xml:space="preserve">
includes $2K for yrly admin fees</t>
        </r>
      </text>
    </comment>
    <comment ref="C104" authorId="1" shapeId="0" xr:uid="{EBA1C732-3482-45F2-991B-EC385D3BEEFD}">
      <text>
        <r>
          <rPr>
            <b/>
            <sz val="9"/>
            <color indexed="81"/>
            <rFont val="Tahoma"/>
            <family val="2"/>
          </rPr>
          <t>Notes:</t>
        </r>
        <r>
          <rPr>
            <sz val="9"/>
            <color indexed="81"/>
            <rFont val="Tahoma"/>
            <family val="2"/>
          </rPr>
          <t xml:space="preserve">
This is a BS item of actual cash disbursed for inventory purchased and is in lieu of the 5570 (Cost of Merch Sold) acct</t>
        </r>
      </text>
    </comment>
    <comment ref="C105" authorId="1" shapeId="0" xr:uid="{98EEFB67-FFE1-40BC-8ED8-3236743F17FA}">
      <text>
        <r>
          <rPr>
            <b/>
            <sz val="9"/>
            <color indexed="81"/>
            <rFont val="Tahoma"/>
            <family val="2"/>
          </rPr>
          <t>Carolyn Gibson:</t>
        </r>
        <r>
          <rPr>
            <sz val="9"/>
            <color indexed="81"/>
            <rFont val="Tahoma"/>
            <family val="2"/>
          </rPr>
          <t xml:space="preserve">
Linked to Construction CIP tab total</t>
        </r>
      </text>
    </comment>
    <comment ref="C106" authorId="0" shapeId="0" xr:uid="{0F650A52-F9C1-4F66-90DB-A01722DB3828}">
      <text>
        <r>
          <rPr>
            <b/>
            <sz val="9"/>
            <color indexed="81"/>
            <rFont val="Tahoma"/>
            <charset val="1"/>
          </rPr>
          <t>Stephanie Campbell:</t>
        </r>
        <r>
          <rPr>
            <sz val="9"/>
            <color indexed="81"/>
            <rFont val="Tahoma"/>
            <charset val="1"/>
          </rPr>
          <t xml:space="preserve">
per the FC mtg 5-18-20 add this line as a precautionary exp</t>
        </r>
      </text>
    </comment>
    <comment ref="C107" authorId="0" shapeId="0" xr:uid="{FC8F82EC-8686-430F-8D42-063BC103AD73}">
      <text>
        <r>
          <rPr>
            <b/>
            <sz val="9"/>
            <color indexed="81"/>
            <rFont val="Tahoma"/>
            <charset val="1"/>
          </rPr>
          <t>Stephanie Campbell:</t>
        </r>
        <r>
          <rPr>
            <sz val="9"/>
            <color indexed="81"/>
            <rFont val="Tahoma"/>
            <charset val="1"/>
          </rPr>
          <t xml:space="preserve">
per the FC mtg 5-18-20 add this line back to the budget if at some point in FY21 this $18K is needed.
See line above #5361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Stephanie Campbell</author>
    <author>Carolyn Gibson</author>
  </authors>
  <commentList>
    <comment ref="A19" authorId="0" shapeId="0" xr:uid="{00000000-0006-0000-0200-000001000000}">
      <text>
        <r>
          <rPr>
            <b/>
            <sz val="9"/>
            <color indexed="81"/>
            <rFont val="Tahoma"/>
            <family val="2"/>
          </rPr>
          <t>Stephanie Campbell:</t>
        </r>
        <r>
          <rPr>
            <sz val="9"/>
            <color indexed="81"/>
            <rFont val="Tahoma"/>
            <family val="2"/>
          </rPr>
          <t xml:space="preserve">
5102</t>
        </r>
      </text>
    </comment>
    <comment ref="A20" authorId="0" shapeId="0" xr:uid="{00000000-0006-0000-0200-000002000000}">
      <text>
        <r>
          <rPr>
            <b/>
            <sz val="9"/>
            <color indexed="81"/>
            <rFont val="Tahoma"/>
            <family val="2"/>
          </rPr>
          <t>Stephanie Campbell:</t>
        </r>
        <r>
          <rPr>
            <sz val="9"/>
            <color indexed="81"/>
            <rFont val="Tahoma"/>
            <family val="2"/>
          </rPr>
          <t xml:space="preserve">
Mtg Disc #5203</t>
        </r>
      </text>
    </comment>
    <comment ref="A21" authorId="1" shapeId="0" xr:uid="{00000000-0006-0000-0200-000003000000}">
      <text>
        <r>
          <rPr>
            <b/>
            <sz val="9"/>
            <color indexed="81"/>
            <rFont val="Tahoma"/>
            <family val="2"/>
          </rPr>
          <t>Carolyn Gibson:</t>
        </r>
        <r>
          <rPr>
            <sz val="9"/>
            <color indexed="81"/>
            <rFont val="Tahoma"/>
            <family val="2"/>
          </rPr>
          <t xml:space="preserve">
See hidden tab "Compensation Links" for detail</t>
        </r>
      </text>
    </comment>
    <comment ref="C21" authorId="1" shapeId="0" xr:uid="{00000000-0006-0000-0200-000004000000}">
      <text>
        <r>
          <rPr>
            <b/>
            <sz val="9"/>
            <color indexed="81"/>
            <rFont val="Tahoma"/>
            <family val="2"/>
          </rPr>
          <t>Carolyn Gibson:</t>
        </r>
        <r>
          <rPr>
            <sz val="9"/>
            <color indexed="81"/>
            <rFont val="Tahoma"/>
            <family val="2"/>
          </rPr>
          <t xml:space="preserve">
Check negative IRA COntrib</t>
        </r>
      </text>
    </comment>
    <comment ref="A22" authorId="1" shapeId="0" xr:uid="{00000000-0006-0000-0200-000005000000}">
      <text>
        <r>
          <rPr>
            <b/>
            <sz val="9"/>
            <color indexed="81"/>
            <rFont val="Tahoma"/>
            <family val="2"/>
          </rPr>
          <t>Carolyn Gibson:</t>
        </r>
        <r>
          <rPr>
            <sz val="9"/>
            <color indexed="81"/>
            <rFont val="Tahoma"/>
            <family val="2"/>
          </rPr>
          <t xml:space="preserve">
*400 &amp; *452</t>
        </r>
      </text>
    </comment>
    <comment ref="A24" authorId="1" shapeId="0" xr:uid="{00000000-0006-0000-0200-000006000000}">
      <text>
        <r>
          <rPr>
            <b/>
            <sz val="9"/>
            <color indexed="81"/>
            <rFont val="Tahoma"/>
            <family val="2"/>
          </rPr>
          <t>Carolyn Gibson:</t>
        </r>
        <r>
          <rPr>
            <sz val="9"/>
            <color indexed="81"/>
            <rFont val="Tahoma"/>
            <family val="2"/>
          </rPr>
          <t xml:space="preserve">
See hidden tab "Non Capital Program Exp" for links</t>
        </r>
      </text>
    </comment>
    <comment ref="G29" authorId="1" shapeId="0" xr:uid="{00000000-0006-0000-0200-000007000000}">
      <text>
        <r>
          <rPr>
            <b/>
            <sz val="9"/>
            <color indexed="81"/>
            <rFont val="Tahoma"/>
            <family val="2"/>
          </rPr>
          <t>Carolyn Gibson:</t>
        </r>
        <r>
          <rPr>
            <sz val="9"/>
            <color indexed="81"/>
            <rFont val="Tahoma"/>
            <family val="2"/>
          </rPr>
          <t xml:space="preserve">
sign depr was not included in FY20 budget #5427 - was not mentioned until after the budget was approved</t>
        </r>
      </text>
    </comment>
    <comment ref="J29" authorId="1" shapeId="0" xr:uid="{00000000-0006-0000-0200-000008000000}">
      <text>
        <r>
          <rPr>
            <b/>
            <sz val="9"/>
            <color indexed="81"/>
            <rFont val="Tahoma"/>
            <family val="2"/>
          </rPr>
          <t>Carolyn Gibson:</t>
        </r>
        <r>
          <rPr>
            <sz val="9"/>
            <color indexed="81"/>
            <rFont val="Tahoma"/>
            <family val="2"/>
          </rPr>
          <t xml:space="preserve">
sign depr was not included in FY20 budget #5427 - was not mentioned until after the budget was approved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Stephanie Campbell</author>
    <author>Carolyn Gibson</author>
  </authors>
  <commentList>
    <comment ref="N22" authorId="0" shapeId="0" xr:uid="{00000000-0006-0000-0600-000001000000}">
      <text>
        <r>
          <rPr>
            <b/>
            <sz val="9"/>
            <color indexed="81"/>
            <rFont val="Tahoma"/>
            <family val="2"/>
          </rPr>
          <t>Stephanie Campbell:</t>
        </r>
        <r>
          <rPr>
            <sz val="9"/>
            <color indexed="81"/>
            <rFont val="Tahoma"/>
            <family val="2"/>
          </rPr>
          <t xml:space="preserve">
CHR @ $5K
ABWK @ $2500.00</t>
        </r>
      </text>
    </comment>
    <comment ref="P107" authorId="1" shapeId="0" xr:uid="{00000000-0006-0000-0600-000002000000}">
      <text>
        <r>
          <rPr>
            <b/>
            <sz val="9"/>
            <color indexed="81"/>
            <rFont val="Tahoma"/>
            <family val="2"/>
          </rPr>
          <t>Carolyn Gibson:</t>
        </r>
        <r>
          <rPr>
            <sz val="9"/>
            <color indexed="81"/>
            <rFont val="Tahoma"/>
            <family val="2"/>
          </rPr>
          <t xml:space="preserve">
Rounding due to decimal supression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Carolyn Gibson</author>
  </authors>
  <commentList>
    <comment ref="C33" authorId="0" shapeId="0" xr:uid="{00000000-0006-0000-0700-000001000000}">
      <text>
        <r>
          <rPr>
            <b/>
            <sz val="9"/>
            <color indexed="81"/>
            <rFont val="Tahoma"/>
            <family val="2"/>
          </rPr>
          <t>Carolyn Gibson:</t>
        </r>
        <r>
          <rPr>
            <sz val="9"/>
            <color indexed="81"/>
            <rFont val="Tahoma"/>
            <family val="2"/>
          </rPr>
          <t xml:space="preserve">
Removed 60k. Please update for what's needed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Stephanie Campbell</author>
    <author>Carolyn Gibson</author>
  </authors>
  <commentList>
    <comment ref="J5" authorId="0" shapeId="0" xr:uid="{00000000-0006-0000-0800-000001000000}">
      <text>
        <r>
          <rPr>
            <b/>
            <sz val="9"/>
            <color indexed="81"/>
            <rFont val="Tahoma"/>
            <family val="2"/>
          </rPr>
          <t>Stephanie Campbell:</t>
        </r>
        <r>
          <rPr>
            <sz val="9"/>
            <color indexed="81"/>
            <rFont val="Tahoma"/>
            <family val="2"/>
          </rPr>
          <t xml:space="preserve">
added FY19 Thrivent 2nd half payment of $37,500</t>
        </r>
      </text>
    </comment>
    <comment ref="O5" authorId="0" shapeId="0" xr:uid="{00000000-0006-0000-0800-000002000000}">
      <text>
        <r>
          <rPr>
            <b/>
            <sz val="9"/>
            <color indexed="81"/>
            <rFont val="Tahoma"/>
            <family val="2"/>
          </rPr>
          <t>Stephanie Campbell:</t>
        </r>
        <r>
          <rPr>
            <sz val="9"/>
            <color indexed="81"/>
            <rFont val="Tahoma"/>
            <family val="2"/>
          </rPr>
          <t xml:space="preserve">
deducted FY20 thrivent second half payment of $37,500 to be rec'd in Jan 2020</t>
        </r>
      </text>
    </comment>
    <comment ref="Q5" authorId="1" shapeId="0" xr:uid="{00000000-0006-0000-0800-000003000000}">
      <text>
        <r>
          <rPr>
            <b/>
            <sz val="9"/>
            <color indexed="81"/>
            <rFont val="Tahoma"/>
            <family val="2"/>
          </rPr>
          <t>Carolyn Gibson:</t>
        </r>
        <r>
          <rPr>
            <sz val="9"/>
            <color indexed="81"/>
            <rFont val="Tahoma"/>
            <family val="2"/>
          </rPr>
          <t xml:space="preserve">
Thrivent FY19 Rcv</t>
        </r>
      </text>
    </comment>
    <comment ref="P95" authorId="0" shapeId="0" xr:uid="{00000000-0006-0000-0800-000004000000}">
      <text>
        <r>
          <rPr>
            <b/>
            <sz val="9"/>
            <color indexed="81"/>
            <rFont val="Tahoma"/>
            <family val="2"/>
          </rPr>
          <t>Stephanie Campbell:</t>
        </r>
        <r>
          <rPr>
            <sz val="9"/>
            <color indexed="81"/>
            <rFont val="Tahoma"/>
            <family val="2"/>
          </rPr>
          <t xml:space="preserve">
per amortization FY20 schedule</t>
        </r>
      </text>
    </comment>
    <comment ref="C96" authorId="0" shapeId="0" xr:uid="{00000000-0006-0000-0800-000005000000}">
      <text>
        <r>
          <rPr>
            <b/>
            <sz val="9"/>
            <color indexed="81"/>
            <rFont val="Tahoma"/>
            <family val="2"/>
          </rPr>
          <t>Stephanie Campbell:</t>
        </r>
        <r>
          <rPr>
            <sz val="9"/>
            <color indexed="81"/>
            <rFont val="Tahoma"/>
            <family val="2"/>
          </rPr>
          <t xml:space="preserve">
per jeff's budget/email amounts good for FY19 for purchased goods (rugs/paint supplies)</t>
        </r>
      </text>
    </comment>
    <comment ref="P96" authorId="0" shapeId="0" xr:uid="{00000000-0006-0000-0800-000006000000}">
      <text>
        <r>
          <rPr>
            <b/>
            <sz val="9"/>
            <color indexed="81"/>
            <rFont val="Tahoma"/>
            <family val="2"/>
          </rPr>
          <t>Stephanie Campbell:</t>
        </r>
        <r>
          <rPr>
            <sz val="9"/>
            <color indexed="81"/>
            <rFont val="Tahoma"/>
            <family val="2"/>
          </rPr>
          <t xml:space="preserve">
per jeff</t>
        </r>
      </text>
    </comment>
    <comment ref="P97" authorId="0" shapeId="0" xr:uid="{00000000-0006-0000-0800-000007000000}">
      <text>
        <r>
          <rPr>
            <b/>
            <sz val="9"/>
            <color indexed="81"/>
            <rFont val="Tahoma"/>
            <family val="2"/>
          </rPr>
          <t>Stephanie Campbell:</t>
        </r>
        <r>
          <rPr>
            <sz val="9"/>
            <color indexed="81"/>
            <rFont val="Tahoma"/>
            <family val="2"/>
          </rPr>
          <t xml:space="preserve">
took FY19 budget X 15% for FY20 buget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Stephanie Campbell</author>
    <author>Christi Walker</author>
  </authors>
  <commentList>
    <comment ref="H7" authorId="0" shapeId="0" xr:uid="{00000000-0006-0000-0900-000001000000}">
      <text>
        <r>
          <rPr>
            <b/>
            <sz val="9"/>
            <color indexed="81"/>
            <rFont val="Tahoma"/>
            <family val="2"/>
          </rPr>
          <t>Stephanie Campbell:</t>
        </r>
        <r>
          <rPr>
            <sz val="9"/>
            <color indexed="81"/>
            <rFont val="Tahoma"/>
            <family val="2"/>
          </rPr>
          <t xml:space="preserve">
Thrivent Build (FY18 posted as a receivable)</t>
        </r>
      </text>
    </comment>
    <comment ref="N10" authorId="0" shapeId="0" xr:uid="{00000000-0006-0000-0900-000002000000}">
      <text>
        <r>
          <rPr>
            <b/>
            <sz val="9"/>
            <color indexed="81"/>
            <rFont val="Tahoma"/>
            <family val="2"/>
          </rPr>
          <t>Stephanie Campbell:</t>
        </r>
        <r>
          <rPr>
            <sz val="9"/>
            <color indexed="81"/>
            <rFont val="Tahoma"/>
            <family val="2"/>
          </rPr>
          <t xml:space="preserve">
per conversion w/Kris add half an Apostles build of $37,500</t>
        </r>
      </text>
    </comment>
    <comment ref="O36" authorId="0" shapeId="0" xr:uid="{00000000-0006-0000-0900-000003000000}">
      <text>
        <r>
          <rPr>
            <b/>
            <sz val="9"/>
            <color indexed="81"/>
            <rFont val="Tahoma"/>
            <family val="2"/>
          </rPr>
          <t>Stephanie Campbell:</t>
        </r>
        <r>
          <rPr>
            <sz val="9"/>
            <color indexed="81"/>
            <rFont val="Tahoma"/>
            <family val="2"/>
          </rPr>
          <t xml:space="preserve">
thrivent repair rev of 15K</t>
        </r>
      </text>
    </comment>
    <comment ref="A46" authorId="0" shapeId="0" xr:uid="{00000000-0006-0000-0900-000004000000}">
      <text>
        <r>
          <rPr>
            <b/>
            <sz val="9"/>
            <color indexed="81"/>
            <rFont val="Tahoma"/>
            <family val="2"/>
          </rPr>
          <t>Stephanie Campbell:</t>
        </r>
        <r>
          <rPr>
            <sz val="9"/>
            <color indexed="81"/>
            <rFont val="Tahoma"/>
            <family val="2"/>
          </rPr>
          <t xml:space="preserve">
offset is #1610 for amount of sale (1st mtg) at closing</t>
        </r>
      </text>
    </comment>
    <comment ref="O48" authorId="1" shapeId="0" xr:uid="{00000000-0006-0000-0900-000005000000}">
      <text>
        <r>
          <rPr>
            <b/>
            <sz val="9"/>
            <color indexed="81"/>
            <rFont val="Tahoma"/>
            <family val="2"/>
          </rPr>
          <t>Christi Walker:</t>
        </r>
        <r>
          <rPr>
            <sz val="9"/>
            <color indexed="81"/>
            <rFont val="Tahoma"/>
            <family val="2"/>
          </rPr>
          <t xml:space="preserve">
Est. $60/ month</t>
        </r>
      </text>
    </comment>
    <comment ref="L71" authorId="0" shapeId="0" xr:uid="{00000000-0006-0000-0900-000006000000}">
      <text>
        <r>
          <rPr>
            <b/>
            <sz val="9"/>
            <color indexed="81"/>
            <rFont val="Tahoma"/>
            <family val="2"/>
          </rPr>
          <t>Stephanie Campbell:</t>
        </r>
        <r>
          <rPr>
            <sz val="9"/>
            <color indexed="81"/>
            <rFont val="Tahoma"/>
            <family val="2"/>
          </rPr>
          <t xml:space="preserve">
per conversation w/janet - possible 1 homeowner loan payoff</t>
        </r>
      </text>
    </comment>
    <comment ref="N71" authorId="0" shapeId="0" xr:uid="{00000000-0006-0000-0900-000007000000}">
      <text>
        <r>
          <rPr>
            <b/>
            <sz val="9"/>
            <color indexed="81"/>
            <rFont val="Tahoma"/>
            <family val="2"/>
          </rPr>
          <t>Stephanie Campbell:</t>
        </r>
        <r>
          <rPr>
            <sz val="9"/>
            <color indexed="81"/>
            <rFont val="Tahoma"/>
            <family val="2"/>
          </rPr>
          <t xml:space="preserve">
per conversation w/janet - possible 1 homeowner loan payoff</t>
        </r>
      </text>
    </comment>
    <comment ref="O71" authorId="0" shapeId="0" xr:uid="{00000000-0006-0000-0900-000008000000}">
      <text>
        <r>
          <rPr>
            <b/>
            <sz val="9"/>
            <color indexed="81"/>
            <rFont val="Tahoma"/>
            <family val="2"/>
          </rPr>
          <t>Stephanie Campbell:</t>
        </r>
        <r>
          <rPr>
            <sz val="9"/>
            <color indexed="81"/>
            <rFont val="Tahoma"/>
            <family val="2"/>
          </rPr>
          <t xml:space="preserve">
during the 4/12 budget meeting removed this line item</t>
        </r>
      </text>
    </comment>
    <comment ref="O92" authorId="0" shapeId="0" xr:uid="{00000000-0006-0000-0900-000009000000}">
      <text>
        <r>
          <rPr>
            <b/>
            <sz val="9"/>
            <color indexed="81"/>
            <rFont val="Tahoma"/>
            <family val="2"/>
          </rPr>
          <t>Stephanie Campbell:</t>
        </r>
        <r>
          <rPr>
            <sz val="9"/>
            <color indexed="81"/>
            <rFont val="Tahoma"/>
            <family val="2"/>
          </rPr>
          <t xml:space="preserve">
reduce EE training to 250 vs 500</t>
        </r>
      </text>
    </comment>
    <comment ref="O99" authorId="0" shapeId="0" xr:uid="{00000000-0006-0000-0900-00000A000000}">
      <text>
        <r>
          <rPr>
            <b/>
            <sz val="9"/>
            <color indexed="81"/>
            <rFont val="Tahoma"/>
            <family val="2"/>
          </rPr>
          <t>Stephanie Campbell:</t>
        </r>
        <r>
          <rPr>
            <sz val="9"/>
            <color indexed="81"/>
            <rFont val="Tahoma"/>
            <family val="2"/>
          </rPr>
          <t xml:space="preserve">
adding thrivent offset rev &amp; exp</t>
        </r>
      </text>
    </comment>
    <comment ref="C153" authorId="0" shapeId="0" xr:uid="{00000000-0006-0000-0900-00000B000000}">
      <text>
        <r>
          <rPr>
            <b/>
            <sz val="9"/>
            <color indexed="81"/>
            <rFont val="Tahoma"/>
            <family val="2"/>
          </rPr>
          <t>Stephanie Campbell:</t>
        </r>
        <r>
          <rPr>
            <sz val="9"/>
            <color indexed="81"/>
            <rFont val="Tahoma"/>
            <family val="2"/>
          </rPr>
          <t xml:space="preserve">
amount based off of amortization schedule for the months of FY19</t>
        </r>
      </text>
    </comment>
    <comment ref="D153" authorId="0" shapeId="0" xr:uid="{00000000-0006-0000-0900-00000C000000}">
      <text>
        <r>
          <rPr>
            <b/>
            <sz val="9"/>
            <color indexed="81"/>
            <rFont val="Tahoma"/>
            <family val="2"/>
          </rPr>
          <t>Stephanie Campbell:</t>
        </r>
        <r>
          <rPr>
            <sz val="9"/>
            <color indexed="81"/>
            <rFont val="Tahoma"/>
            <family val="2"/>
          </rPr>
          <t xml:space="preserve">
amount based off of amortization schedule for the months of FY19</t>
        </r>
      </text>
    </comment>
    <comment ref="E153" authorId="0" shapeId="0" xr:uid="{00000000-0006-0000-0900-00000D000000}">
      <text>
        <r>
          <rPr>
            <b/>
            <sz val="9"/>
            <color indexed="81"/>
            <rFont val="Tahoma"/>
            <family val="2"/>
          </rPr>
          <t>Stephanie Campbell:</t>
        </r>
        <r>
          <rPr>
            <sz val="9"/>
            <color indexed="81"/>
            <rFont val="Tahoma"/>
            <family val="2"/>
          </rPr>
          <t xml:space="preserve">
amount based off of amortization schedule for the months of FY19</t>
        </r>
      </text>
    </comment>
    <comment ref="F153" authorId="0" shapeId="0" xr:uid="{00000000-0006-0000-0900-00000E000000}">
      <text>
        <r>
          <rPr>
            <b/>
            <sz val="9"/>
            <color indexed="81"/>
            <rFont val="Tahoma"/>
            <family val="2"/>
          </rPr>
          <t>Stephanie Campbell:</t>
        </r>
        <r>
          <rPr>
            <sz val="9"/>
            <color indexed="81"/>
            <rFont val="Tahoma"/>
            <family val="2"/>
          </rPr>
          <t xml:space="preserve">
amount based off of amortization schedule for the months of FY19</t>
        </r>
      </text>
    </comment>
    <comment ref="G153" authorId="0" shapeId="0" xr:uid="{00000000-0006-0000-0900-00000F000000}">
      <text>
        <r>
          <rPr>
            <b/>
            <sz val="9"/>
            <color indexed="81"/>
            <rFont val="Tahoma"/>
            <family val="2"/>
          </rPr>
          <t>Stephanie Campbell:</t>
        </r>
        <r>
          <rPr>
            <sz val="9"/>
            <color indexed="81"/>
            <rFont val="Tahoma"/>
            <family val="2"/>
          </rPr>
          <t xml:space="preserve">
amount based off of amortization schedule for the months of FY19</t>
        </r>
      </text>
    </comment>
    <comment ref="H153" authorId="0" shapeId="0" xr:uid="{00000000-0006-0000-0900-000010000000}">
      <text>
        <r>
          <rPr>
            <b/>
            <sz val="9"/>
            <color indexed="81"/>
            <rFont val="Tahoma"/>
            <family val="2"/>
          </rPr>
          <t>Stephanie Campbell:</t>
        </r>
        <r>
          <rPr>
            <sz val="9"/>
            <color indexed="81"/>
            <rFont val="Tahoma"/>
            <family val="2"/>
          </rPr>
          <t xml:space="preserve">
amount based off of amortization schedule for the months of FY19</t>
        </r>
      </text>
    </comment>
    <comment ref="I153" authorId="0" shapeId="0" xr:uid="{00000000-0006-0000-0900-000011000000}">
      <text>
        <r>
          <rPr>
            <b/>
            <sz val="9"/>
            <color indexed="81"/>
            <rFont val="Tahoma"/>
            <family val="2"/>
          </rPr>
          <t>Stephanie Campbell:</t>
        </r>
        <r>
          <rPr>
            <sz val="9"/>
            <color indexed="81"/>
            <rFont val="Tahoma"/>
            <family val="2"/>
          </rPr>
          <t xml:space="preserve">
amount based off of amortization schedule for the months of FY19</t>
        </r>
      </text>
    </comment>
    <comment ref="J153" authorId="0" shapeId="0" xr:uid="{00000000-0006-0000-0900-000012000000}">
      <text>
        <r>
          <rPr>
            <b/>
            <sz val="9"/>
            <color indexed="81"/>
            <rFont val="Tahoma"/>
            <family val="2"/>
          </rPr>
          <t>Stephanie Campbell:</t>
        </r>
        <r>
          <rPr>
            <sz val="9"/>
            <color indexed="81"/>
            <rFont val="Tahoma"/>
            <family val="2"/>
          </rPr>
          <t xml:space="preserve">
amount based off of amortization schedule for the months of FY19</t>
        </r>
      </text>
    </comment>
    <comment ref="K153" authorId="0" shapeId="0" xr:uid="{00000000-0006-0000-0900-000013000000}">
      <text>
        <r>
          <rPr>
            <b/>
            <sz val="9"/>
            <color indexed="81"/>
            <rFont val="Tahoma"/>
            <family val="2"/>
          </rPr>
          <t>Stephanie Campbell:</t>
        </r>
        <r>
          <rPr>
            <sz val="9"/>
            <color indexed="81"/>
            <rFont val="Tahoma"/>
            <family val="2"/>
          </rPr>
          <t xml:space="preserve">
amount based off of amortization schedule for the months of FY19</t>
        </r>
      </text>
    </comment>
    <comment ref="L153" authorId="0" shapeId="0" xr:uid="{00000000-0006-0000-0900-000014000000}">
      <text>
        <r>
          <rPr>
            <b/>
            <sz val="9"/>
            <color indexed="81"/>
            <rFont val="Tahoma"/>
            <family val="2"/>
          </rPr>
          <t>Stephanie Campbell:</t>
        </r>
        <r>
          <rPr>
            <sz val="9"/>
            <color indexed="81"/>
            <rFont val="Tahoma"/>
            <family val="2"/>
          </rPr>
          <t xml:space="preserve">
amount based off of amortization schedule for the months of FY19</t>
        </r>
      </text>
    </comment>
    <comment ref="M153" authorId="0" shapeId="0" xr:uid="{00000000-0006-0000-0900-000015000000}">
      <text>
        <r>
          <rPr>
            <b/>
            <sz val="9"/>
            <color indexed="81"/>
            <rFont val="Tahoma"/>
            <family val="2"/>
          </rPr>
          <t>Stephanie Campbell:</t>
        </r>
        <r>
          <rPr>
            <sz val="9"/>
            <color indexed="81"/>
            <rFont val="Tahoma"/>
            <family val="2"/>
          </rPr>
          <t xml:space="preserve">
amount based off of amortization schedule for the months of FY19</t>
        </r>
      </text>
    </comment>
    <comment ref="N153" authorId="0" shapeId="0" xr:uid="{00000000-0006-0000-0900-000016000000}">
      <text>
        <r>
          <rPr>
            <b/>
            <sz val="9"/>
            <color indexed="81"/>
            <rFont val="Tahoma"/>
            <family val="2"/>
          </rPr>
          <t>Stephanie Campbell:</t>
        </r>
        <r>
          <rPr>
            <sz val="9"/>
            <color indexed="81"/>
            <rFont val="Tahoma"/>
            <family val="2"/>
          </rPr>
          <t xml:space="preserve">
amount based off of amortization schedule for the months of FY19</t>
        </r>
      </text>
    </comment>
    <comment ref="B154" authorId="0" shapeId="0" xr:uid="{00000000-0006-0000-0900-000017000000}">
      <text>
        <r>
          <rPr>
            <b/>
            <sz val="9"/>
            <color indexed="81"/>
            <rFont val="Tahoma"/>
            <family val="2"/>
          </rPr>
          <t>Stephanie Campbell:</t>
        </r>
        <r>
          <rPr>
            <sz val="9"/>
            <color indexed="81"/>
            <rFont val="Tahoma"/>
            <family val="2"/>
          </rPr>
          <t xml:space="preserve">
per jeff's budget/email amounts good for FY19 for purchased goods (rugs/paint supplies)</t>
        </r>
      </text>
    </comment>
  </commentList>
</comments>
</file>

<file path=xl/sharedStrings.xml><?xml version="1.0" encoding="utf-8"?>
<sst xmlns="http://schemas.openxmlformats.org/spreadsheetml/2006/main" count="1605" uniqueCount="616">
  <si>
    <t>Pikes Peak Habitat for Humanity</t>
  </si>
  <si>
    <t>Revenue</t>
  </si>
  <si>
    <t>Admin</t>
  </si>
  <si>
    <t>Development</t>
  </si>
  <si>
    <t>Mortgage Activity</t>
  </si>
  <si>
    <t>ReStore</t>
  </si>
  <si>
    <t>Program</t>
  </si>
  <si>
    <t>Total</t>
  </si>
  <si>
    <t>Contributions</t>
  </si>
  <si>
    <t>Grants</t>
  </si>
  <si>
    <t>In-Kind</t>
  </si>
  <si>
    <t>Sale of Homes</t>
  </si>
  <si>
    <t>Other</t>
  </si>
  <si>
    <t>Total Revenue</t>
  </si>
  <si>
    <t>Expense</t>
  </si>
  <si>
    <t>Cost of Homes Sold</t>
  </si>
  <si>
    <t>Compensation</t>
  </si>
  <si>
    <t>Professional Development/Conferences/Mileage</t>
  </si>
  <si>
    <t>Insurance</t>
  </si>
  <si>
    <t>Loan Interest</t>
  </si>
  <si>
    <t>Occupancy/Supplies/Postage/Closing/Admin</t>
  </si>
  <si>
    <t>Tithe</t>
  </si>
  <si>
    <t>Total Expenses</t>
  </si>
  <si>
    <t>Professional Services (Audit/Legal/Payroll)</t>
  </si>
  <si>
    <t>Depreciation (Bldg/Equipment/Vehicle/Software)</t>
  </si>
  <si>
    <t>Purchased Goods/Consignment</t>
  </si>
  <si>
    <t>Net Gain/(Loss)</t>
  </si>
  <si>
    <t>Professional Fees/Subscriptions/Memberships</t>
  </si>
  <si>
    <t>Noncapital Program Costs</t>
  </si>
  <si>
    <t>Fundraising/Advertising/Printing</t>
  </si>
  <si>
    <t>Loan Sale(s)</t>
  </si>
  <si>
    <t>Homeowner Prin Mthly Transfer</t>
  </si>
  <si>
    <t>Inventory Purchased Goods/Consignment</t>
  </si>
  <si>
    <t>Loan Principal Pmts</t>
  </si>
  <si>
    <t>Construction in Progress (CIP)</t>
  </si>
  <si>
    <t>Vehicle Lease</t>
  </si>
  <si>
    <t>Admin/Tl Ex</t>
  </si>
  <si>
    <t>Dev/Tl Ex</t>
  </si>
  <si>
    <t>Program/Tl Exp</t>
  </si>
  <si>
    <t xml:space="preserve">  Total Cash Inflow</t>
  </si>
  <si>
    <t xml:space="preserve">  Total Cash Outflow</t>
  </si>
  <si>
    <t>Net Cash Inflow</t>
  </si>
  <si>
    <r>
      <rPr>
        <b/>
        <sz val="11"/>
        <color theme="1"/>
        <rFont val="Arial"/>
        <family val="2"/>
      </rPr>
      <t>P&amp;L</t>
    </r>
    <r>
      <rPr>
        <sz val="11"/>
        <color theme="1"/>
        <rFont val="Arial"/>
        <family val="2"/>
      </rPr>
      <t xml:space="preserve"> - 2019 Budget Summary</t>
    </r>
  </si>
  <si>
    <t>For Fiscal Year Ending June 30, 2019</t>
  </si>
  <si>
    <t>FY19 Preliminary P&amp;L Budget</t>
  </si>
  <si>
    <t>July</t>
  </si>
  <si>
    <t>August</t>
  </si>
  <si>
    <t>September</t>
  </si>
  <si>
    <t>October</t>
  </si>
  <si>
    <t>November</t>
  </si>
  <si>
    <t>December</t>
  </si>
  <si>
    <t>January</t>
  </si>
  <si>
    <t>February</t>
  </si>
  <si>
    <t>March</t>
  </si>
  <si>
    <t>April</t>
  </si>
  <si>
    <t>May</t>
  </si>
  <si>
    <t>June</t>
  </si>
  <si>
    <t>G/L Title</t>
  </si>
  <si>
    <t>FS</t>
  </si>
  <si>
    <t>Hsup</t>
  </si>
  <si>
    <t>Hser</t>
  </si>
  <si>
    <t>Rep</t>
  </si>
  <si>
    <t>Const</t>
  </si>
  <si>
    <t>Vol</t>
  </si>
  <si>
    <t>RS</t>
  </si>
  <si>
    <t>Dev</t>
  </si>
  <si>
    <t>Mgmt</t>
  </si>
  <si>
    <t>4010 · Individuals</t>
  </si>
  <si>
    <t>4020 · Corporations</t>
  </si>
  <si>
    <t>4030 · Religious Institutions</t>
  </si>
  <si>
    <t>4030.3 · Apostle Build</t>
  </si>
  <si>
    <t>4030 · Religious Institutions - Other</t>
  </si>
  <si>
    <t>Total 4030 · Religious Institutions</t>
  </si>
  <si>
    <t>4035 · Community Groups</t>
  </si>
  <si>
    <t>4037 · Bike 'n Build</t>
  </si>
  <si>
    <t>4035 · Community Groups - Other</t>
  </si>
  <si>
    <t>Total 4035 · Community Groups</t>
  </si>
  <si>
    <t>4042 · Special Events Income Net</t>
  </si>
  <si>
    <t>4310 · Special Event Income Gross</t>
  </si>
  <si>
    <t>4360 · Women Build Income</t>
  </si>
  <si>
    <t>Total 4310 · Special Event Income Gross</t>
  </si>
  <si>
    <t>4320 · Special Events Costs</t>
  </si>
  <si>
    <t>4342 · Women Build Expense</t>
  </si>
  <si>
    <t>4339 · Adopt-a-Day Expenses</t>
  </si>
  <si>
    <t>Total 4320 · Special Events Costs</t>
  </si>
  <si>
    <t>Total 4042 · Special Events Income Net</t>
  </si>
  <si>
    <t>4044 · ReStore-Contributions</t>
  </si>
  <si>
    <t>4000 · Contributions/Donations - Other</t>
  </si>
  <si>
    <t>4050 · Government Grants</t>
  </si>
  <si>
    <t>4055 · HFH CO &amp; HFHI Grants</t>
  </si>
  <si>
    <t>4056 · Contra - HFH CO &amp; HFHI Fees</t>
  </si>
  <si>
    <t>4055 · HFH CO &amp; HFHI Grants - Other</t>
  </si>
  <si>
    <t>Total 4055 · HFH CO &amp; HFHI Grants</t>
  </si>
  <si>
    <t>4060 · Other-Grants</t>
  </si>
  <si>
    <t>4095 · Religious Institution Grants</t>
  </si>
  <si>
    <t>4080 · Corporate Grants</t>
  </si>
  <si>
    <t>4090 · Foundation Grants</t>
  </si>
  <si>
    <t>4120 · Businesses</t>
  </si>
  <si>
    <t>4140 · HFHI</t>
  </si>
  <si>
    <t>Total 4105 · In-Kind-Materials</t>
  </si>
  <si>
    <t>4150/4170 · In-Kind-Svcs/Rentals</t>
  </si>
  <si>
    <t>4200 · Sale to Homeowners</t>
  </si>
  <si>
    <t>4202 - Home Purchase Down Payment</t>
  </si>
  <si>
    <t>4410- Resale Store Income Gross</t>
  </si>
  <si>
    <t>4410-01 Short/Over Resale Store</t>
  </si>
  <si>
    <t>4410-02 Purchased Goods/Sales Inventory</t>
  </si>
  <si>
    <t>4410-03 Purchased Paint-Consignment</t>
  </si>
  <si>
    <t>4380 · Properties Income - Gross</t>
  </si>
  <si>
    <t>4390 · Properties Expense</t>
  </si>
  <si>
    <t>4300 · Properties Income Net - Other</t>
  </si>
  <si>
    <t>4198 · Unam'd Mtge Disct on Sale by HO</t>
  </si>
  <si>
    <t>4505 · Mortgage Discount Amortization</t>
  </si>
  <si>
    <t>4451 - Individual Donation -RS</t>
  </si>
  <si>
    <t>4520 · Program Income</t>
  </si>
  <si>
    <t>4525 · Vendor Adjust/Refund</t>
  </si>
  <si>
    <t>4530 · Application Fees</t>
  </si>
  <si>
    <t>4550 · Late Fee Income</t>
  </si>
  <si>
    <t>4610 · Dividend Income</t>
  </si>
  <si>
    <t>4615 · Interest Income</t>
  </si>
  <si>
    <t>4630 · Unrealized Gain/Loss on Income</t>
  </si>
  <si>
    <t>4632 · Hsg.Opp.Fdn Interest</t>
  </si>
  <si>
    <t>Total 4630 · Unrealized Gain/Loss on Income</t>
  </si>
  <si>
    <t>4638 · Gain/Loss on Residence Dispos'n</t>
  </si>
  <si>
    <t>4650 · Shed Sales</t>
  </si>
  <si>
    <t>Homeowner Loan Payoff</t>
  </si>
  <si>
    <t>Interest Earned</t>
  </si>
  <si>
    <t>Accounting</t>
  </si>
  <si>
    <t>X</t>
  </si>
  <si>
    <t>Advertising</t>
  </si>
  <si>
    <t>Background Checks</t>
  </si>
  <si>
    <t>Bank &amp; Credit Card Fees</t>
  </si>
  <si>
    <t>Bdg Equipment Depreciation</t>
  </si>
  <si>
    <t>Board of Directors</t>
  </si>
  <si>
    <t>Building &amp; Personal Prop Ins.</t>
  </si>
  <si>
    <t>Building Depreciation</t>
  </si>
  <si>
    <t>Building Equipment &amp; Repairs</t>
  </si>
  <si>
    <t>Cash Short/Over Resale Store</t>
  </si>
  <si>
    <t>Closing Costs</t>
  </si>
  <si>
    <t>Community Education &amp; Awareness</t>
  </si>
  <si>
    <t>Confs, Mtgs, Prof'al Dev'mt</t>
  </si>
  <si>
    <t>Consignment Purchase</t>
  </si>
  <si>
    <t>Const Supplies</t>
  </si>
  <si>
    <t>Construction Costs - Other</t>
  </si>
  <si>
    <t>Construction Equip. Depr.</t>
  </si>
  <si>
    <t>Cost of Construction from CIP</t>
  </si>
  <si>
    <t>Cost of Purchased Mdse Sold</t>
  </si>
  <si>
    <t>Cost of Repairs</t>
  </si>
  <si>
    <t>Credit Checks</t>
  </si>
  <si>
    <t>Dedications &amp; Groundbreakings</t>
  </si>
  <si>
    <t>Dues &amp; Subscriptions</t>
  </si>
  <si>
    <t>Employer Payroll Taxes</t>
  </si>
  <si>
    <t>Employer SIMPLE-IRA Match</t>
  </si>
  <si>
    <t>Equipment/Vehicle Rental</t>
  </si>
  <si>
    <t>Family Selection &amp; Support - other</t>
  </si>
  <si>
    <t>Fuel-Vehicle</t>
  </si>
  <si>
    <t>Fundraising Expense</t>
  </si>
  <si>
    <t>Homebuyer Classes</t>
  </si>
  <si>
    <t>Insurance-Vehicle</t>
  </si>
  <si>
    <t>Interest</t>
  </si>
  <si>
    <t>International Tithe Expense</t>
  </si>
  <si>
    <t>IT</t>
  </si>
  <si>
    <t>Janitorial Expense</t>
  </si>
  <si>
    <t>Legal Fees</t>
  </si>
  <si>
    <t>Liability/E&amp;O Insurance</t>
  </si>
  <si>
    <t>Loan Servicing</t>
  </si>
  <si>
    <t>Maintenance</t>
  </si>
  <si>
    <t>Mileage &amp; Parking Expense</t>
  </si>
  <si>
    <t>Mortgage Discount Expense</t>
  </si>
  <si>
    <t>Office Equipment/Furniture Depr</t>
  </si>
  <si>
    <t>Office Rent</t>
  </si>
  <si>
    <t>Operating Supplies and Tools</t>
  </si>
  <si>
    <t>Other Employee Benefits</t>
  </si>
  <si>
    <t>Payroll processing fee</t>
  </si>
  <si>
    <t>Plan Development</t>
  </si>
  <si>
    <t>Postage and Shipping</t>
  </si>
  <si>
    <t>Printing and Publications</t>
  </si>
  <si>
    <t>Professional Licenses</t>
  </si>
  <si>
    <t>Promotional Expense</t>
  </si>
  <si>
    <t>Property Tax</t>
  </si>
  <si>
    <t>Recruitment</t>
  </si>
  <si>
    <t>Repairs-Vehicle</t>
  </si>
  <si>
    <t>Salary &amp; Wages</t>
  </si>
  <si>
    <t>Security</t>
  </si>
  <si>
    <t>Sign Depreciation</t>
  </si>
  <si>
    <t>Software Depr.</t>
  </si>
  <si>
    <t>Staff Appreciation</t>
  </si>
  <si>
    <t>Storage</t>
  </si>
  <si>
    <t xml:space="preserve">Supplies </t>
  </si>
  <si>
    <t>Tax/Lic-Vehicle</t>
  </si>
  <si>
    <t>Telephone and Fax</t>
  </si>
  <si>
    <t>Temporary Contract Staff</t>
  </si>
  <si>
    <t>Trailer-Related Expense</t>
  </si>
  <si>
    <t>Trash Removal</t>
  </si>
  <si>
    <t>Uniforms</t>
  </si>
  <si>
    <t>Utilities</t>
  </si>
  <si>
    <t>Vehicle Depreciation</t>
  </si>
  <si>
    <t>Volunteer Expense</t>
  </si>
  <si>
    <t>Warranty Expense</t>
  </si>
  <si>
    <t>Workers Comp Ins.</t>
  </si>
  <si>
    <t>Net Income/(Loss)</t>
  </si>
  <si>
    <t>???? Memberships &amp; where</t>
  </si>
  <si>
    <t>FY19 Preliminary Cash Budget</t>
  </si>
  <si>
    <t>4000 · Contributions/Donations</t>
  </si>
  <si>
    <t>FY18 Budget</t>
  </si>
  <si>
    <t>variance</t>
  </si>
  <si>
    <t>Total 4000 · Contributions/Donations</t>
  </si>
  <si>
    <t>4045 · Grants</t>
  </si>
  <si>
    <t>Total 4045 · Grants</t>
  </si>
  <si>
    <t>4100 · In-Kind Donations</t>
  </si>
  <si>
    <t>4150 · In-Kind-Svcs/Rentals</t>
  </si>
  <si>
    <t>4170 · Businesses</t>
  </si>
  <si>
    <t>Total 4150 · In-Kind-Svcs/Rentals</t>
  </si>
  <si>
    <t>4300 · Properties Income Net</t>
  </si>
  <si>
    <t>Total 4300 · Properties Income Net</t>
  </si>
  <si>
    <t>4500 · Other Program Income</t>
  </si>
  <si>
    <t>4451 - Individual Donation - RS</t>
  </si>
  <si>
    <t>4520 ·Program Income (scrap/paint care)</t>
  </si>
  <si>
    <t>4525 · Vendor Discount Income</t>
  </si>
  <si>
    <t>Total 4500 · Other Program Income</t>
  </si>
  <si>
    <t>4600 · Other Non-Program Income</t>
  </si>
  <si>
    <t>Total 4600 · Other Non-Program Income</t>
  </si>
  <si>
    <t>Loan Sale (bank or CHFA)</t>
  </si>
  <si>
    <t>homeowner loan payoff</t>
  </si>
  <si>
    <t>Monthly Homeowner Payments Transferred</t>
  </si>
  <si>
    <t>Total Cash In</t>
  </si>
  <si>
    <t>Advertising/Marketing</t>
  </si>
  <si>
    <t>5206-1</t>
  </si>
  <si>
    <t>5572</t>
  </si>
  <si>
    <t>various</t>
  </si>
  <si>
    <t>5371c</t>
  </si>
  <si>
    <t>5371b</t>
  </si>
  <si>
    <t>5371d</t>
  </si>
  <si>
    <t>5371a</t>
  </si>
  <si>
    <t>5375-4</t>
  </si>
  <si>
    <t>5371-F</t>
  </si>
  <si>
    <t>Loan Principal Pmts (ReStore) (BS item)</t>
  </si>
  <si>
    <t>Inventory-Purchased Goods RS (BS item)</t>
  </si>
  <si>
    <t>CIP (BS item)</t>
  </si>
  <si>
    <t>Total Cash Out</t>
  </si>
  <si>
    <t>Cash Receipt/(Use)</t>
  </si>
  <si>
    <t>Option:  reducing planned staffing</t>
  </si>
  <si>
    <t>Capital Expenses</t>
  </si>
  <si>
    <t>Mortgage Servicing Software $20,000</t>
  </si>
  <si>
    <t>ReStore IT $7,000</t>
  </si>
  <si>
    <t>ReStore 2 Study $25,000</t>
  </si>
  <si>
    <t>GH, CSI Blitz, Tongate</t>
  </si>
  <si>
    <t>No cash out</t>
  </si>
  <si>
    <t>Niewald, Vet, Real Est, 2 Dale</t>
  </si>
  <si>
    <t>Cash out</t>
  </si>
  <si>
    <r>
      <rPr>
        <b/>
        <sz val="11"/>
        <color theme="1"/>
        <rFont val="Arial"/>
        <family val="2"/>
      </rPr>
      <t>P&amp;L</t>
    </r>
    <r>
      <rPr>
        <sz val="11"/>
        <color theme="1"/>
        <rFont val="Arial"/>
        <family val="2"/>
      </rPr>
      <t xml:space="preserve"> - 2020 Budget Summary</t>
    </r>
  </si>
  <si>
    <t>For Fiscal Year Ending June 30, 2020</t>
  </si>
  <si>
    <t>Pikes Peak Habitat for HumanityFY20 Preliminary P&amp;L Budget</t>
  </si>
  <si>
    <t>internal notes - hide columns</t>
  </si>
  <si>
    <t>GL #</t>
  </si>
  <si>
    <t>Account Name</t>
  </si>
  <si>
    <t>proof</t>
  </si>
  <si>
    <t>Bdg Mtg Adj</t>
  </si>
  <si>
    <t>Adjusted Total</t>
  </si>
  <si>
    <t>Jul-Mar FY19</t>
  </si>
  <si>
    <t>FY19 Budget</t>
  </si>
  <si>
    <t>Notes</t>
  </si>
  <si>
    <t>Individuals</t>
  </si>
  <si>
    <t>Campaigns/GT/CGD/monthly donors/BOD pledges</t>
  </si>
  <si>
    <t>Corporations</t>
  </si>
  <si>
    <t>$180/ADA's &amp; corporate sponsors/$75K Thrivent/$10K DAE sponsorship(s)</t>
  </si>
  <si>
    <t>Religious Institutions</t>
  </si>
  <si>
    <t>$7K religious donors towards Thrivent/$5K Knights/$3K misc/monthly donors</t>
  </si>
  <si>
    <t>Community Groups</t>
  </si>
  <si>
    <t>Government Grants</t>
  </si>
  <si>
    <t>HFH CO &amp; HFHI Grants</t>
  </si>
  <si>
    <t>Contra - HFH CO &amp; HFHI Fees</t>
  </si>
  <si>
    <t>Corporate Grants</t>
  </si>
  <si>
    <t>Foundation Grants</t>
  </si>
  <si>
    <t>GIK Business Materials</t>
  </si>
  <si>
    <t>GIK HFHI</t>
  </si>
  <si>
    <t>In Kind - Businesses</t>
  </si>
  <si>
    <t>Sale to Homeowners</t>
  </si>
  <si>
    <t>Resale Store Income Gross</t>
  </si>
  <si>
    <t>4410-01</t>
  </si>
  <si>
    <t>Short/Over Resale Store Inc Gro</t>
  </si>
  <si>
    <t>Individual Donation - ReStore</t>
  </si>
  <si>
    <t>ReStore Program Income</t>
  </si>
  <si>
    <t>Mortgage Discount Amortization</t>
  </si>
  <si>
    <t>Repair Program</t>
  </si>
  <si>
    <t>Application Fees</t>
  </si>
  <si>
    <t>Late Fee Income</t>
  </si>
  <si>
    <t>4610</t>
  </si>
  <si>
    <t>Dividend Income</t>
  </si>
  <si>
    <t>Interest Income</t>
  </si>
  <si>
    <t>Gain/Loss on Residence Dispos'n</t>
  </si>
  <si>
    <t>Accounting Fees</t>
  </si>
  <si>
    <t>*386</t>
  </si>
  <si>
    <t>Advertising &amp; Marketing</t>
  </si>
  <si>
    <t>Advocacy</t>
  </si>
  <si>
    <t>*295</t>
  </si>
  <si>
    <t>Americorp/VISTA</t>
  </si>
  <si>
    <t>*325</t>
  </si>
  <si>
    <t>Cash Short and Over</t>
  </si>
  <si>
    <t>*400</t>
  </si>
  <si>
    <t>Const Supplies and Tools</t>
  </si>
  <si>
    <t>Cost of Homes Sold (CIP)</t>
  </si>
  <si>
    <t>Cost of Repairs-Repair Prgm</t>
  </si>
  <si>
    <t>Depreciation - Building</t>
  </si>
  <si>
    <t>Depreciation - Building Equip</t>
  </si>
  <si>
    <t>Depreciation - Construction Equ</t>
  </si>
  <si>
    <t>Depreciation - Office Equip</t>
  </si>
  <si>
    <t>Depreciation - Software</t>
  </si>
  <si>
    <t>Depreciation - Vehicle</t>
  </si>
  <si>
    <t>Depreciation-Software</t>
  </si>
  <si>
    <t>*315/325</t>
  </si>
  <si>
    <t>*270</t>
  </si>
  <si>
    <t>First Aid &amp; Safety Training</t>
  </si>
  <si>
    <t>Homeowner Classes</t>
  </si>
  <si>
    <t>*388</t>
  </si>
  <si>
    <t>*368</t>
  </si>
  <si>
    <t>Janitorial</t>
  </si>
  <si>
    <t>*320</t>
  </si>
  <si>
    <t>*104</t>
  </si>
  <si>
    <t>Liability/ E&amp;O Insurance</t>
  </si>
  <si>
    <t>*376</t>
  </si>
  <si>
    <t>Maintenance (copier)</t>
  </si>
  <si>
    <t>*452</t>
  </si>
  <si>
    <t>*362</t>
  </si>
  <si>
    <t>*332</t>
  </si>
  <si>
    <t>Office Supplies</t>
  </si>
  <si>
    <t>5375-1</t>
  </si>
  <si>
    <t>Office Trailer -Expense/Repairs</t>
  </si>
  <si>
    <t>*280</t>
  </si>
  <si>
    <t>*335</t>
  </si>
  <si>
    <t>Payroll processing  fee</t>
  </si>
  <si>
    <t>*350</t>
  </si>
  <si>
    <t>*380</t>
  </si>
  <si>
    <t>*355</t>
  </si>
  <si>
    <t>*340</t>
  </si>
  <si>
    <t>Telephone and Internet</t>
  </si>
  <si>
    <t>*364</t>
  </si>
  <si>
    <t>5371-D</t>
  </si>
  <si>
    <t>Vehicle - Expense/Repairs</t>
  </si>
  <si>
    <t>5371-C</t>
  </si>
  <si>
    <t>Vehicle - Fuel/Propane</t>
  </si>
  <si>
    <t>5371-B</t>
  </si>
  <si>
    <t>Vehicle - Insurance</t>
  </si>
  <si>
    <t>5371-A</t>
  </si>
  <si>
    <t>Vehicle - Tax/Lic</t>
  </si>
  <si>
    <t>Vehicle/Equipment Rental</t>
  </si>
  <si>
    <t>5208-1</t>
  </si>
  <si>
    <t>Volunteer Appreciation Event</t>
  </si>
  <si>
    <t>*255</t>
  </si>
  <si>
    <t>Wages</t>
  </si>
  <si>
    <t>*290</t>
  </si>
  <si>
    <t>rounding</t>
  </si>
  <si>
    <t>Net Inflow/(outflow)</t>
  </si>
  <si>
    <t>campaigns/donors/BOD/religious &amp; community groups - sponsors/ADA's/Thrivent</t>
  </si>
  <si>
    <t>CHDO/HFHI/HFHCO/  various corp &amp; fdn groups</t>
  </si>
  <si>
    <t>sale to homeowner/mthly mtg disc amortization</t>
  </si>
  <si>
    <t>interest/app &amp; late fees &amp; payoff/repairs</t>
  </si>
  <si>
    <t>Pikes Peak Habitat for Humanity FY20 Preliminary Cash Budget</t>
  </si>
  <si>
    <t>Land and development</t>
  </si>
  <si>
    <t xml:space="preserve">ReStore #2 </t>
  </si>
  <si>
    <r>
      <rPr>
        <b/>
        <sz val="11"/>
        <color theme="1"/>
        <rFont val="Arial"/>
        <family val="2"/>
      </rPr>
      <t>CASH</t>
    </r>
    <r>
      <rPr>
        <sz val="11"/>
        <color theme="1"/>
        <rFont val="Arial"/>
        <family val="2"/>
      </rPr>
      <t xml:space="preserve"> - 2020 Budget Summary</t>
    </r>
  </si>
  <si>
    <t>Non-Capital Program Costs</t>
  </si>
  <si>
    <t>5106 · Operating Supplies and Tools</t>
  </si>
  <si>
    <t>5110 · Plan Development</t>
  </si>
  <si>
    <t>5118 · Const Supplies and Tools</t>
  </si>
  <si>
    <t>5120 · Warranty</t>
  </si>
  <si>
    <t>5123 · Cost of Repairs-Repair Prgm</t>
  </si>
  <si>
    <t>5204 · Closing Costs</t>
  </si>
  <si>
    <t>5206 · Credit Checks</t>
  </si>
  <si>
    <t>5208 · Volunteer Expense</t>
  </si>
  <si>
    <t>5208-1 · Volunteer Appreciation Event</t>
  </si>
  <si>
    <t>5210 · Dedications &amp; Groundbreakings</t>
  </si>
  <si>
    <t>5211 · Homeowner Classes</t>
  </si>
  <si>
    <t>5215 · First Aid &amp; Safety Training</t>
  </si>
  <si>
    <t>5214 · Loan Servicing</t>
  </si>
  <si>
    <t>5373 · Vehicle/Equipment Rental</t>
  </si>
  <si>
    <t>5206-1 · Background Checks</t>
  </si>
  <si>
    <t>5371F · Vehicle Lease</t>
  </si>
  <si>
    <t>5371A · Vehicle - Tax/Lic</t>
  </si>
  <si>
    <t>5371C · Vehicle - Fuel/Propane</t>
  </si>
  <si>
    <t>5371D · Vehicle - Expense/Repairs</t>
  </si>
  <si>
    <t>5375-1 · Office Trailer -Expense/Repairs</t>
  </si>
  <si>
    <t>5255 · Wages-Pgm Svcs</t>
  </si>
  <si>
    <t>5270 · Employer SIMPLE-IRA Match</t>
  </si>
  <si>
    <t>5280 · Other Employee Benefits</t>
  </si>
  <si>
    <t>6560 · Employer Payroll Taxes</t>
  </si>
  <si>
    <t>7255 · Wages-Mgmt/Genl</t>
  </si>
  <si>
    <t>7270 · Employer SIMPLE-IRA Match</t>
  </si>
  <si>
    <t>7280 · Other Employee Benefits</t>
  </si>
  <si>
    <t>8255 · Wages-Fundraising</t>
  </si>
  <si>
    <t>8270 · Employer SIMPLE-IRA Match</t>
  </si>
  <si>
    <t>8280 · Other Employee Benefits</t>
  </si>
  <si>
    <t>Compensation/Contract</t>
  </si>
  <si>
    <t>8295 · Americorp/VISTA</t>
  </si>
  <si>
    <t>8285 · Temporary Contract Staff</t>
  </si>
  <si>
    <t>5295 · Americorp/VISTA</t>
  </si>
  <si>
    <t>5315 · Bank &amp; Credit Card Fees</t>
  </si>
  <si>
    <t>7356 · Board of Directors</t>
  </si>
  <si>
    <t>5361 · Building Equipment &amp; Repairs</t>
  </si>
  <si>
    <t>5362 · Office Rent</t>
  </si>
  <si>
    <t>5363 · Trash Removal</t>
  </si>
  <si>
    <t>5364 · Utilities</t>
  </si>
  <si>
    <t>5367 · Security</t>
  </si>
  <si>
    <t>5368 · Janitorial</t>
  </si>
  <si>
    <t>5388 · IT</t>
  </si>
  <si>
    <t>5376 · Maintenance (copier)</t>
  </si>
  <si>
    <t>5340 · Telephone and Internet</t>
  </si>
  <si>
    <t>5350 · Postage and Shipping</t>
  </si>
  <si>
    <t>5355 · Staff Appreciation</t>
  </si>
  <si>
    <t>5356 · Uniforms</t>
  </si>
  <si>
    <t>5202 · Property Tax</t>
  </si>
  <si>
    <t>5291 · Recruitment</t>
  </si>
  <si>
    <t>5114 · Storage</t>
  </si>
  <si>
    <t>5332 · Office Supplies</t>
  </si>
  <si>
    <t>7325 · Credit Card Fees</t>
  </si>
  <si>
    <t>7332 · Office Supplies</t>
  </si>
  <si>
    <t>7340 · Telephone and Internet</t>
  </si>
  <si>
    <t>7350 · Postage and Shipping</t>
  </si>
  <si>
    <t>7355 · Staff Appreciation</t>
  </si>
  <si>
    <t>7362 · Office Rent</t>
  </si>
  <si>
    <t>7364 · Utilities</t>
  </si>
  <si>
    <t>7368 · Janitorial Expense</t>
  </si>
  <si>
    <t>7376 · Maintenance (copier)</t>
  </si>
  <si>
    <t>7388 · IT</t>
  </si>
  <si>
    <t>7410 · Advocacy</t>
  </si>
  <si>
    <t>8325 · Credit Card Fees</t>
  </si>
  <si>
    <t>8332 · Office Supplies</t>
  </si>
  <si>
    <t>8340 · Telephone and Internet</t>
  </si>
  <si>
    <t>8350 · Postage and Shipping</t>
  </si>
  <si>
    <t>8355 · Staff Appreciation - Dev</t>
  </si>
  <si>
    <t>8362 · Office Rent</t>
  </si>
  <si>
    <t>8364 · Utilities</t>
  </si>
  <si>
    <t>8368 · Janitorial</t>
  </si>
  <si>
    <t>8376 · Maintenance (copier)</t>
  </si>
  <si>
    <t>8388 · IT</t>
  </si>
  <si>
    <t>Not used in this years budget</t>
  </si>
  <si>
    <t>Occupancy/Supplies/Postage/ Closing/Admin</t>
  </si>
  <si>
    <t>Depreciation (Bldg/Equiq/Vehicle/Software)</t>
  </si>
  <si>
    <t>Professional Fees /Subscriptions/Memberships</t>
  </si>
  <si>
    <t>Professional Development/Conferences/ Mileage</t>
  </si>
  <si>
    <t>HO Services</t>
  </si>
  <si>
    <t xml:space="preserve">Pikes Peak Habitat for Humanity FY21 </t>
  </si>
  <si>
    <t>Internal Notes</t>
  </si>
  <si>
    <t>Preliminary Cash Budget - 6 Homes</t>
  </si>
  <si>
    <t>Hard coded this page</t>
  </si>
  <si>
    <t>Target Progress --------&gt;</t>
  </si>
  <si>
    <t>Total FY21</t>
  </si>
  <si>
    <t>Bdg Mtg Notes</t>
  </si>
  <si>
    <t>FY20 Budget</t>
  </si>
  <si>
    <t>Jul-Apr FY20 Actual</t>
  </si>
  <si>
    <t>Projected YE 2020</t>
  </si>
  <si>
    <t>hard code remove</t>
  </si>
  <si>
    <t>Supress carryover of non-cash PPP</t>
  </si>
  <si>
    <t>4202/4200</t>
  </si>
  <si>
    <t>Home Purchase Down Payments</t>
  </si>
  <si>
    <t>4410-02</t>
  </si>
  <si>
    <t>Purchased Goods/Sales Inventory</t>
  </si>
  <si>
    <t>4410-03</t>
  </si>
  <si>
    <t>Purchased Paint-Consignment</t>
  </si>
  <si>
    <t>Represents est cash to be rcd-hardcoded here</t>
  </si>
  <si>
    <t>Adjusted on FS Tab</t>
  </si>
  <si>
    <t>Const. Equip Maint/Rentals</t>
  </si>
  <si>
    <t>Employer SIMPLE-IRA / 401KMatch</t>
  </si>
  <si>
    <t>Remove 3000 GIK as hard code in June</t>
  </si>
  <si>
    <t>Professional Licenses/Certs</t>
  </si>
  <si>
    <t>Vehicle - Maintenance</t>
  </si>
  <si>
    <t>5208-3</t>
  </si>
  <si>
    <t>Volunteer Adopt-A-Day</t>
  </si>
  <si>
    <t>5208-2</t>
  </si>
  <si>
    <t>Volunteer First Aid &amp; Safety Training</t>
  </si>
  <si>
    <t>5208-4</t>
  </si>
  <si>
    <t>Volunteer Special Groups</t>
  </si>
  <si>
    <t>Budget removed</t>
  </si>
  <si>
    <t>RS1 85K; RS2 25.7K</t>
  </si>
  <si>
    <t>COVID19 outbreak fumigation</t>
  </si>
  <si>
    <t>if needed add back the lot pavinig exp (RS1)</t>
  </si>
  <si>
    <t>Sand Creek</t>
  </si>
  <si>
    <t>April Balance Sheet Ending Balance</t>
  </si>
  <si>
    <t>March BS End Cash Balance</t>
  </si>
  <si>
    <t>This must be over 1M</t>
  </si>
  <si>
    <t>Sub-Total Target over(short) by:</t>
  </si>
  <si>
    <t>FY21 Budget Total</t>
  </si>
  <si>
    <t xml:space="preserve">Pikes Peak Habitat for HumanityFY21 </t>
  </si>
  <si>
    <t>Preliminary P&amp;L Budget</t>
  </si>
  <si>
    <t>Rec COVID Redux</t>
  </si>
  <si>
    <t>RS Rec COVID - 4mo</t>
  </si>
  <si>
    <t>FY21 Total</t>
  </si>
  <si>
    <t>FY20 Actual
Jul-Apr</t>
  </si>
  <si>
    <t>COVID - reduce 10%</t>
  </si>
  <si>
    <t>Thrivent - possible 25K addl; COVID 10%</t>
  </si>
  <si>
    <t xml:space="preserve">                                                              </t>
  </si>
  <si>
    <t>Add 25K when each SC closes - SC rmv bc grant is forgiveable loan/recorded as BS item</t>
  </si>
  <si>
    <t>Added PPP Loan</t>
  </si>
  <si>
    <t>4110</t>
  </si>
  <si>
    <t>In Kind - Individuals</t>
  </si>
  <si>
    <t>See abt Const/RS Ask Incr - 10K (achievable)</t>
  </si>
  <si>
    <t>4195</t>
  </si>
  <si>
    <t>In-Kind - Inventory</t>
  </si>
  <si>
    <t>4200/4202</t>
  </si>
  <si>
    <t>4202</t>
  </si>
  <si>
    <t>Reduced to 6 homes from 9; 04/21 Add back 1 SC home</t>
  </si>
  <si>
    <t>CoVID - reduce 20% - 4 mos</t>
  </si>
  <si>
    <t>Vendor Adj/Disc. Income</t>
  </si>
  <si>
    <t>Insurance Adjustment</t>
  </si>
  <si>
    <t>4636</t>
  </si>
  <si>
    <t>Gain/Loss on Mortgage Sale(s)</t>
  </si>
  <si>
    <t>100K Added in Bdg Mtg-- Adj to $60K X 3 = $180K est/ave</t>
  </si>
  <si>
    <t>Beq/Unrealized loss/inkind home/etc</t>
  </si>
  <si>
    <t>Dev: Frees up S2 time - goal planned giv (estate) - pulled from FY21 budget</t>
  </si>
  <si>
    <t>1 SC home close added</t>
  </si>
  <si>
    <r>
      <t xml:space="preserve">Follow up w/Depts on #'s - HFHI, AFP, Addl Training; train the trainer - </t>
    </r>
    <r>
      <rPr>
        <b/>
        <u val="singleAccounting"/>
        <sz val="8"/>
        <rFont val="Arial"/>
        <family val="2"/>
      </rPr>
      <t>SC reviewed and it appears that all dept's are including HFHI</t>
    </r>
  </si>
  <si>
    <t>SC&amp;GK: Updated per SC addl Land Val &amp; Grg x 3 &amp; CL Avg 3br hm x 4</t>
  </si>
  <si>
    <t>Updated numbers from purch to sold est</t>
  </si>
  <si>
    <t>HOS: SC &amp; CL Events</t>
  </si>
  <si>
    <t>SC updated w/RS2 dep for 3mths</t>
  </si>
  <si>
    <t>Depreciation - Sign</t>
  </si>
  <si>
    <t>Signature Event - not included and will not be added this year</t>
  </si>
  <si>
    <t>3k added to both Mgmt &amp; GIK</t>
  </si>
  <si>
    <t>#'s are CY + Q4 increase - actual FY21 increase was 8% / FY21 budget added 10% increase for last 3 mths</t>
  </si>
  <si>
    <t>5204-1</t>
  </si>
  <si>
    <t>Loan Sale(s) Fee</t>
  </si>
  <si>
    <t>HOS: Outsource pd FY20 15k, See HS tab for addl notes</t>
  </si>
  <si>
    <t>Adj: to 7 homes @ 84K from 9 homes</t>
  </si>
  <si>
    <t>84,000X9</t>
  </si>
  <si>
    <t>YTD 4300+1500*1.10</t>
  </si>
  <si>
    <t>2800 DR</t>
  </si>
  <si>
    <t>Rs - 4 veh</t>
  </si>
  <si>
    <r>
      <t xml:space="preserve">Repair: 200; Const: 522; RS2: 650; RS1: 672 - </t>
    </r>
    <r>
      <rPr>
        <sz val="10"/>
        <color rgb="FF00B0F0"/>
        <rFont val="Arial"/>
        <family val="2"/>
      </rPr>
      <t>how many vehicles inFY21? If adding more vehciles this section will need to be updated.</t>
    </r>
  </si>
  <si>
    <t>Vol/Dev: 1 VAE (Apr21) - Removed 7500 from 4020 for GE Johnson on Dev Tab</t>
  </si>
  <si>
    <t>RS - Mtg to discuss opening date pos FY22</t>
  </si>
  <si>
    <t>Const: OK to reduce to 500/mo</t>
  </si>
  <si>
    <t>x Bdg Mtg: add 1200/mo RS 2</t>
  </si>
  <si>
    <t>Operational Incidents/FS Other</t>
  </si>
  <si>
    <t>Net Income (Loss)</t>
  </si>
  <si>
    <t>edits</t>
  </si>
  <si>
    <t>Professional Development/Conferences/ Mileage/Advocacy</t>
  </si>
  <si>
    <t>FY20 Budget Total</t>
  </si>
  <si>
    <t>Cash on-hand</t>
  </si>
  <si>
    <t>Occupancy/Supplies/Postage/ Closing/Admin/COVID19</t>
  </si>
  <si>
    <t>ReStore2</t>
  </si>
  <si>
    <t>ReStore 1</t>
  </si>
  <si>
    <t>ytd</t>
  </si>
  <si>
    <t>projection</t>
  </si>
  <si>
    <t>Compensation/Benefits/Contract Labor/VISTA</t>
  </si>
  <si>
    <t>Compensation/Benefits/ Contract Labor</t>
  </si>
  <si>
    <t>Fundraising/Advertising/ Printing</t>
  </si>
  <si>
    <t>Variance Notes</t>
  </si>
  <si>
    <t>Depreciation (Bldg./Equip/Vehicle/ Software)</t>
  </si>
  <si>
    <t>FY21 budget covers the increase for the yearly insurance plans (liability/E&amp;O/auto and workers comp) increases and the RS2.</t>
  </si>
  <si>
    <t>FY21 budget is in line with FY20 YTD projection.</t>
  </si>
  <si>
    <t>FY21 budget reduction is due to the sale of fewer mortgage loans than in FY20.</t>
  </si>
  <si>
    <t>FY21 budget increase is due to the HFHI conference/position training needed/add 'l department travel.</t>
  </si>
  <si>
    <t>if needed add back the lot paving exp (RS1)</t>
  </si>
  <si>
    <t>CASH - FY21 Budget Summary</t>
  </si>
  <si>
    <t>Revenue:</t>
  </si>
  <si>
    <t>Due to potential COVID19 impact,  reduced  individual and corporate donations by 10% and ReStore by 20% for four (4) months.</t>
  </si>
  <si>
    <t xml:space="preserve">Per auditor, SBA PPP forgivable loan will be recorded as revenue in FY21 (cash received in FY20). </t>
  </si>
  <si>
    <t>Expenses/CIP:</t>
  </si>
  <si>
    <t>Construction and wages/benefits/insurance continue to be the largest budget line items.</t>
  </si>
  <si>
    <t>FY20 budget total expenses exceeds FY19 total projected expenses by 16%.  Primary line items driving increases:  compensation, benefits and workers comp insurance.</t>
  </si>
  <si>
    <t>Net Income:</t>
  </si>
  <si>
    <t xml:space="preserve">Capital Purchases: </t>
  </si>
  <si>
    <t>Sand Creek completion of acquisition transaction and development expenses ($25k/lot for 30 lots)</t>
  </si>
  <si>
    <t>Potential Risks &amp; plans to address shortfalls:</t>
  </si>
  <si>
    <r>
      <t xml:space="preserve">Pikes Peak Habitat for Humanity FY21 Preliminary </t>
    </r>
    <r>
      <rPr>
        <b/>
        <u/>
        <sz val="12"/>
        <color theme="1"/>
        <rFont val="Calibri"/>
        <family val="2"/>
        <scheme val="minor"/>
      </rPr>
      <t>P&amp;L</t>
    </r>
    <r>
      <rPr>
        <b/>
        <sz val="12"/>
        <color theme="1"/>
        <rFont val="Calibri"/>
        <family val="2"/>
        <scheme val="minor"/>
      </rPr>
      <t xml:space="preserve"> Budget Summary</t>
    </r>
  </si>
  <si>
    <t>Professional Development/Conf's/ Mileage/Advocacy</t>
  </si>
  <si>
    <t>Development's corporation plan includes three (3) Adopt-a-Days a month Oct - June;  monthly small event sponsorships (Veteran Build/YE matching(s)/happy hours); Thrivent.</t>
  </si>
  <si>
    <t>Sale of three (3) mortgages through Habitat Colorado's program at discount less than 2%. Which is 50% of the 6 loans budgeted to close in FY21, thus staying withing board's loan sales policy.</t>
  </si>
  <si>
    <t>Sand Creek land donation value is approximate at $1.5M. ($50k/lot x 30 lots) Donation value will be recorded when appraisal is completed after payment for lot development in October 2020.</t>
  </si>
  <si>
    <t>Closing on six (6) new construction homes (CL811/815/819 &amp; 3 @ SC), one (1) recycled (CL859), and completing three (3) Critical Home Repairs (CHR) and three (3) home preservation projects.</t>
  </si>
  <si>
    <t>Cost of homes sold increase is due to Sand Creek land and development value being higher than Country Living. The addition of a single-car garage adds approximately $15,000 per home.</t>
  </si>
  <si>
    <t>All positions across the affiliate have been reviewed for necessity and positive impact for current stabilization and future growth. All positions in the FY21 budget are determined necessary. Removing lower level positions will harm director level as all directors and managers are working more than 40 hours per week consistently to keep current projects on line and launching future projects, such as planned giving and expanded social media, accounting to support two stores, and new and repair construction. One position has been eliminated beginning June 2020 with outsourcing of loan servicing. Remain in holding pattern with not budgeting for HR, repair, administrative assistant/reception.</t>
  </si>
  <si>
    <t>Workers Comp insurance is based on current premium policy plus an  increase due to a four-year rolling period of claims and prior years' claims exceeding the premium paid.</t>
  </si>
  <si>
    <t>Net income is significantly in the black due to recognition of the estimated value of the Sand Creek land donation and the forgivable SBA PPP loan of $303,313.</t>
  </si>
  <si>
    <t>Risks: ReStore budgeted revenues and  donations don't come in as planned; construction costs for store #2 increase beyond budget due to unforeseen circumstances. Plan: all expenses and number of homes being built will be reviewed by the directors to create an adjusted plan to maintain cash levels at $1 million.</t>
  </si>
  <si>
    <t>Plan: We foresee selling 50% of mortgages going forward until store #2 is stabilized and producing positive net income.</t>
  </si>
  <si>
    <t>For Fiscal Year Ending June 30, 2021</t>
  </si>
  <si>
    <t>FY20 Yr End Projection</t>
  </si>
  <si>
    <t>FY21 budget reduction is due to the uncertainty of COVID19 and more in line with FY20's actual.</t>
  </si>
  <si>
    <t>FY21 budget includes the PPP loan and FY20 budget included the CHDO and HFHI Capacity Building grants.</t>
  </si>
  <si>
    <t xml:space="preserve">FY21 budget includes ReStore #2 and the uncertainty of COVID19.  FY20 actual is due to COVID19 closure and restrictions.  </t>
  </si>
  <si>
    <t>FY21  budget is due to anticipated higher appraisals/sales prices of homes though number of homes at 6. Appraisals are higher in Colorado Springs than Fountain.</t>
  </si>
  <si>
    <t>FY21 budget decrease is due to cash accounts with less balances will be earning less interest/dividends and lower interest rates.</t>
  </si>
  <si>
    <t>FY21 budget includes closing on seven (7) homes, with add 'l expense for adding a garage to three (3), increase in building materials, and increased developed lot values. FY20 closed (9).</t>
  </si>
  <si>
    <t>FY21 budget includes the increase of the appraisals and sales price of the SC homes.</t>
  </si>
  <si>
    <t>FY21 budget variance is due to all wages and hiring being frozen and also, the construction team wages being reflected in the cost of homes sold FY20 YTD projection. FY20 budgeted positions not filled as well.</t>
  </si>
  <si>
    <t>FY21 budget increase is due to the HFHI conference/ 4 ReStore #2 new hires' training needed/add 'l department travel. This is one line item that will be eliminated if needing to address cash burn.</t>
  </si>
  <si>
    <t>FY20 printing decrease due to going to more electronic distribution. Development's advertising  under budget.  FY21 printing will be similar to FY20; for Dev/marketing. majority of FY21 budget represents ReStore1 and ReStore2 monthly advertising expense.</t>
  </si>
  <si>
    <t>FY21 budget increase is due to the (6) Repair projects, add 'l needed supplies, another box truck lease, and ReStore2.</t>
  </si>
  <si>
    <t>FY21 budget covers the increase for the yearly insurance plans (liability/E&amp;O/auto and workers comp) increases and the ReStore2.</t>
  </si>
  <si>
    <t>FY21 budget increase is due the ReStore2 construction loan interest payments.</t>
  </si>
  <si>
    <t>FY21 budget covers the increase for the yearly occupancy expenses, includes minor building repairs, and 2-COVID19 outbreak ReStore fumigations at $50k each.</t>
  </si>
  <si>
    <t>FY21 budget increase is due to the ReStore2 capital expenses.</t>
  </si>
  <si>
    <t xml:space="preserve">FY21 budget both ReStores' cost of goods sold.  FY20 actual purchased goods sales decrease due to COVID19 prior month(s) restrictions. </t>
  </si>
  <si>
    <t>FY21 budget includes tithing on unrestricted donations and ReStore net income.</t>
  </si>
  <si>
    <t>FY21 budget increase is due to the current staffing memberships and PPHFH's  yearly renewals. (SOSI, HBA, Chamber of Commerce, etc.)</t>
  </si>
  <si>
    <t>FY20 Year-end Projection</t>
  </si>
  <si>
    <t>FY21 budget reduction is due to not receiving the same CHDO and Capacity Building grant amounts as FY20.</t>
  </si>
  <si>
    <t>ReStores 1 &amp; 2</t>
  </si>
  <si>
    <t xml:space="preserve">FY21 budget includes ReStore2 and considering the uncertainty of COVID19.  FY20 actual is due to inclement weather days and COVID19 closure and sales item restrictions.  </t>
  </si>
  <si>
    <t>FY21 budget decrease is due to cash accounts having less balances than FY20, and those balances will be earning less interest/dividends due to lower interest rates.</t>
  </si>
  <si>
    <t>FY21 budget variance is due to all wages and hiring being frozen, and construction team wages being reflected in the cost of homes sold in FY20 YTD projection on the P&amp;L tab.</t>
  </si>
  <si>
    <t>Decreased interest and dividend revenue from current year due to less cash in bank(s) due to ReStore2 and Sand Creek land costs.</t>
  </si>
  <si>
    <t>Larger dollar amount and increased number of asks are planned for GIK in FY21 by construction and ReStore.</t>
  </si>
  <si>
    <t>Compensation in FY21 is frozen. Benefits  increased by 15%. No new hires included in this budget with exception of four (4) for ReStore2 in Q4 of FY21.  401(k) budget includes the 4% match for those employees  currently participating plus the yearly admin fee.</t>
  </si>
  <si>
    <t>Acquiring land and constructing ReStore2. Some start-up capital including a forklift.</t>
  </si>
  <si>
    <t xml:space="preserve">All expenses being incurred for ReStore2 are allocated between Profit &amp; Loss and Balance Sheet.  There will be a year-end auditor reclassification of the capital and expense recognition and recording of depreciation. </t>
  </si>
  <si>
    <t>Plan: ReStore2 land is purchased, however the building construction will be postponed.</t>
  </si>
  <si>
    <t>FY20 printing has decreased due to increased electronic distribution. Development's advertising came in under budget.  FY21 printing will be similar to FY20; for Dev.  Majority of FY21 budget represents both ReStores' monthly advertising expense.</t>
  </si>
  <si>
    <t>FY21 budget increase is due to the (6) Repair projects, add 'l needed supplies, another leased box truck, and ReStore2.</t>
  </si>
  <si>
    <t>FY21 budget increase includes add 'l inventory being purchased for both ReStores.  No inventory purchases during April - June, due to COVID-19 impact.</t>
  </si>
  <si>
    <t>FY21 budget includes tithing on both unrestricted donations and ReStore net income.</t>
  </si>
  <si>
    <t>FY21 budget is the amount due from the amortization schedule for ReStore1.</t>
  </si>
  <si>
    <t xml:space="preserve">FY21 budget reduction to FY20 YTD projection is due to fewer home constructions.  As well as add 'l expenses in FY20 for needed prep work on newly purchased lots.  FY21 budget does include adding a garage to Sand Creek homes. </t>
  </si>
  <si>
    <t>Auditors recoginized the land donation of Sand Creek in FY20 - modified FY21 budget by this adjustment.</t>
  </si>
  <si>
    <t>Note:  At the 12/7/2020 BOD meeting, it was passed to amend the FY21 budget to reduce it by the $1.5M land donation budget.</t>
  </si>
  <si>
    <r>
      <rPr>
        <b/>
        <sz val="11"/>
        <color theme="1"/>
        <rFont val="Calibri"/>
        <family val="2"/>
        <scheme val="minor"/>
      </rPr>
      <t>P&amp;L</t>
    </r>
    <r>
      <rPr>
        <sz val="11"/>
        <color theme="1"/>
        <rFont val="Calibri"/>
        <family val="2"/>
        <scheme val="minor"/>
      </rPr>
      <t xml:space="preserve"> - FY21 Budget Summary - Modified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</si>
</sst>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_(* #,##0.000_);_(* \(#,##0.000\);_(* &quot;-&quot;??_);_(@_)"/>
    <numFmt numFmtId="165" formatCode="0_);\(0\)"/>
    <numFmt numFmtId="166" formatCode="_(* #,##0_);_(* \(#,##0\);_(* &quot;-&quot;??_);_(@_)"/>
    <numFmt numFmtId="167" formatCode="#,##0.00;\-#,##0.00"/>
    <numFmt numFmtId="168" formatCode="_(&quot;$&quot;* #,##0_);_(&quot;$&quot;* \(#,##0\);_(&quot;$&quot;* &quot;-&quot;??_);_(@_)"/>
  </numFmts>
  <fonts count="47" x14ac:knownFonts="1">
    <font>
      <sz val="11"/>
      <color theme="1"/>
      <name val="Calibri"/>
      <family val="2"/>
      <scheme val="minor"/>
    </font>
    <font>
      <sz val="11"/>
      <color theme="1"/>
      <name val="Calibri"/>
      <family val="2"/>
      <scheme val="minor"/>
    </font>
    <font>
      <sz val="11"/>
      <color theme="1"/>
      <name val="Arial"/>
      <family val="2"/>
    </font>
    <font>
      <sz val="9"/>
      <color theme="1"/>
      <name val="Arial"/>
      <family val="2"/>
    </font>
    <font>
      <b/>
      <sz val="11"/>
      <color theme="1"/>
      <name val="Arial"/>
      <family val="2"/>
    </font>
    <font>
      <sz val="9"/>
      <color indexed="81"/>
      <name val="Tahoma"/>
      <family val="2"/>
    </font>
    <font>
      <b/>
      <sz val="9"/>
      <color indexed="81"/>
      <name val="Tahoma"/>
      <family val="2"/>
    </font>
    <font>
      <b/>
      <sz val="10"/>
      <color theme="1"/>
      <name val="Arial"/>
      <family val="2"/>
    </font>
    <font>
      <sz val="9"/>
      <color rgb="FF000000"/>
      <name val="Arial"/>
      <family val="2"/>
    </font>
    <font>
      <sz val="9"/>
      <color rgb="FFFF0000"/>
      <name val="Arial"/>
      <family val="2"/>
    </font>
    <font>
      <sz val="9"/>
      <color theme="1"/>
      <name val="Calibri"/>
      <family val="2"/>
      <scheme val="minor"/>
    </font>
    <font>
      <u/>
      <sz val="9"/>
      <color theme="1"/>
      <name val="Arial"/>
      <family val="2"/>
    </font>
    <font>
      <b/>
      <sz val="9"/>
      <color theme="1"/>
      <name val="Arial"/>
      <family val="2"/>
    </font>
    <font>
      <b/>
      <sz val="12"/>
      <color theme="1"/>
      <name val="Arial"/>
      <family val="2"/>
    </font>
    <font>
      <b/>
      <i/>
      <sz val="11"/>
      <color theme="1"/>
      <name val="Arial"/>
      <family val="2"/>
    </font>
    <font>
      <sz val="11"/>
      <color rgb="FF000000"/>
      <name val="Arial"/>
      <family val="2"/>
    </font>
    <font>
      <b/>
      <i/>
      <sz val="9"/>
      <color theme="1"/>
      <name val="Arial"/>
      <family val="2"/>
    </font>
    <font>
      <sz val="8"/>
      <color rgb="FF000000"/>
      <name val="Arial"/>
      <family val="2"/>
    </font>
    <font>
      <b/>
      <sz val="11"/>
      <color theme="1"/>
      <name val="Calibri"/>
      <family val="2"/>
      <scheme val="minor"/>
    </font>
    <font>
      <b/>
      <sz val="8"/>
      <color rgb="FF000000"/>
      <name val="Arial"/>
      <family val="2"/>
    </font>
    <font>
      <sz val="9"/>
      <color theme="0"/>
      <name val="Arial"/>
      <family val="2"/>
    </font>
    <font>
      <b/>
      <u val="singleAccounting"/>
      <sz val="9"/>
      <color theme="1"/>
      <name val="Arial"/>
      <family val="2"/>
    </font>
    <font>
      <sz val="9"/>
      <name val="Arial"/>
      <family val="2"/>
    </font>
    <font>
      <sz val="9"/>
      <color indexed="81"/>
      <name val="Tahoma"/>
      <charset val="1"/>
    </font>
    <font>
      <b/>
      <sz val="9"/>
      <color indexed="81"/>
      <name val="Tahoma"/>
      <charset val="1"/>
    </font>
    <font>
      <sz val="8"/>
      <color theme="1"/>
      <name val="Arial"/>
      <family val="2"/>
    </font>
    <font>
      <sz val="8"/>
      <name val="Arial"/>
      <family val="2"/>
    </font>
    <font>
      <b/>
      <sz val="8"/>
      <color theme="1"/>
      <name val="Arial"/>
      <family val="2"/>
    </font>
    <font>
      <sz val="10"/>
      <color theme="1"/>
      <name val="Arial"/>
      <family val="2"/>
    </font>
    <font>
      <b/>
      <i/>
      <sz val="10"/>
      <color theme="1"/>
      <name val="Arial"/>
      <family val="2"/>
    </font>
    <font>
      <sz val="10"/>
      <color rgb="FF000000"/>
      <name val="Arial"/>
      <family val="2"/>
    </font>
    <font>
      <i/>
      <sz val="8"/>
      <name val="Arial"/>
      <family val="2"/>
    </font>
    <font>
      <sz val="8"/>
      <color rgb="FFFF0000"/>
      <name val="Arial"/>
      <family val="2"/>
    </font>
    <font>
      <sz val="10"/>
      <color rgb="FFFF0000"/>
      <name val="Arial"/>
      <family val="2"/>
    </font>
    <font>
      <sz val="10"/>
      <name val="Arial"/>
      <family val="2"/>
    </font>
    <font>
      <b/>
      <u val="singleAccounting"/>
      <sz val="8"/>
      <name val="Arial"/>
      <family val="2"/>
    </font>
    <font>
      <b/>
      <sz val="8"/>
      <color rgb="FFFF0000"/>
      <name val="Arial"/>
      <family val="2"/>
    </font>
    <font>
      <sz val="8"/>
      <color theme="9" tint="-0.249977111117893"/>
      <name val="Arial"/>
      <family val="2"/>
    </font>
    <font>
      <sz val="10"/>
      <color rgb="FF00B0F0"/>
      <name val="Arial"/>
      <family val="2"/>
    </font>
    <font>
      <b/>
      <sz val="9"/>
      <color theme="1"/>
      <name val="Calibri"/>
      <family val="2"/>
      <scheme val="minor"/>
    </font>
    <font>
      <sz val="9"/>
      <color theme="0"/>
      <name val="Calibri"/>
      <family val="2"/>
      <scheme val="minor"/>
    </font>
    <font>
      <b/>
      <u/>
      <sz val="9"/>
      <color theme="1"/>
      <name val="Calibri"/>
      <family val="2"/>
      <scheme val="minor"/>
    </font>
    <font>
      <sz val="11"/>
      <color rgb="FF000000"/>
      <name val="Calibri"/>
      <family val="2"/>
      <scheme val="minor"/>
    </font>
    <font>
      <sz val="9"/>
      <color rgb="FF000000"/>
      <name val="Calibri"/>
      <family val="2"/>
      <scheme val="minor"/>
    </font>
    <font>
      <b/>
      <sz val="12"/>
      <color theme="1"/>
      <name val="Calibri"/>
      <family val="2"/>
      <scheme val="minor"/>
    </font>
    <font>
      <b/>
      <u/>
      <sz val="12"/>
      <color theme="1"/>
      <name val="Calibri"/>
      <family val="2"/>
      <scheme val="minor"/>
    </font>
    <font>
      <sz val="11"/>
      <color theme="1"/>
      <name val="Symbol"/>
      <family val="1"/>
      <charset val="2"/>
    </font>
  </fonts>
  <fills count="29">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499984740745262"/>
        <bgColor indexed="64"/>
      </patternFill>
    </fill>
    <fill>
      <patternFill patternType="solid">
        <fgColor theme="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s>
  <borders count="11">
    <border>
      <left/>
      <right/>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style="thin">
        <color auto="1"/>
      </left>
      <right/>
      <top/>
      <bottom/>
      <diagonal/>
    </border>
    <border>
      <left style="thin">
        <color auto="1"/>
      </left>
      <right style="thin">
        <color auto="1"/>
      </right>
      <top/>
      <bottom style="thin">
        <color auto="1"/>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570">
    <xf numFmtId="0" fontId="0" fillId="0" borderId="0" xfId="0"/>
    <xf numFmtId="43" fontId="0" fillId="0" borderId="0" xfId="1" applyFont="1" applyFill="1"/>
    <xf numFmtId="0" fontId="3" fillId="0" borderId="0" xfId="0" applyFont="1"/>
    <xf numFmtId="43" fontId="3" fillId="0" borderId="0" xfId="1" applyFont="1" applyAlignment="1">
      <alignment horizontal="right"/>
    </xf>
    <xf numFmtId="43" fontId="3" fillId="0" borderId="0" xfId="1" applyFont="1" applyAlignment="1">
      <alignment horizontal="right" wrapText="1"/>
    </xf>
    <xf numFmtId="43" fontId="3" fillId="0" borderId="2" xfId="1" applyFont="1" applyBorder="1" applyAlignment="1">
      <alignment horizontal="right"/>
    </xf>
    <xf numFmtId="43" fontId="3" fillId="0" borderId="3" xfId="1" applyFont="1" applyBorder="1" applyAlignment="1">
      <alignment horizontal="right"/>
    </xf>
    <xf numFmtId="43" fontId="3" fillId="0" borderId="3" xfId="1" applyFont="1" applyBorder="1" applyAlignment="1">
      <alignment horizontal="right" wrapText="1"/>
    </xf>
    <xf numFmtId="43" fontId="3" fillId="0" borderId="4" xfId="1" applyFont="1" applyBorder="1" applyAlignment="1">
      <alignment horizontal="right"/>
    </xf>
    <xf numFmtId="43" fontId="3" fillId="0" borderId="1" xfId="1" applyFont="1" applyBorder="1" applyAlignment="1">
      <alignment horizontal="right"/>
    </xf>
    <xf numFmtId="0" fontId="3" fillId="0" borderId="0" xfId="0" applyFont="1" applyFill="1"/>
    <xf numFmtId="43" fontId="3" fillId="0" borderId="0" xfId="1" applyFont="1" applyFill="1" applyAlignment="1">
      <alignment horizontal="right"/>
    </xf>
    <xf numFmtId="43" fontId="3" fillId="0" borderId="0" xfId="1" applyFont="1" applyFill="1" applyAlignment="1">
      <alignment horizontal="right" wrapText="1"/>
    </xf>
    <xf numFmtId="43" fontId="3" fillId="0" borderId="0" xfId="1" applyFont="1" applyFill="1"/>
    <xf numFmtId="43" fontId="3" fillId="0" borderId="0" xfId="1" applyFont="1" applyBorder="1" applyAlignment="1">
      <alignment horizontal="right"/>
    </xf>
    <xf numFmtId="43" fontId="3" fillId="0" borderId="5" xfId="1" applyFont="1" applyFill="1" applyBorder="1" applyAlignment="1">
      <alignment horizontal="right"/>
    </xf>
    <xf numFmtId="43" fontId="3" fillId="0" borderId="5" xfId="1" applyFont="1" applyFill="1" applyBorder="1" applyAlignment="1">
      <alignment horizontal="right" wrapText="1"/>
    </xf>
    <xf numFmtId="43" fontId="3" fillId="0" borderId="5" xfId="1" applyFont="1" applyBorder="1" applyAlignment="1">
      <alignment horizontal="right"/>
    </xf>
    <xf numFmtId="0" fontId="3" fillId="0" borderId="0" xfId="0" applyFont="1" applyAlignment="1">
      <alignment wrapText="1"/>
    </xf>
    <xf numFmtId="0" fontId="3" fillId="0" borderId="0" xfId="0" applyFont="1" applyBorder="1" applyAlignment="1">
      <alignment wrapText="1"/>
    </xf>
    <xf numFmtId="0" fontId="3" fillId="0" borderId="0" xfId="0" applyFont="1" applyFill="1" applyAlignment="1">
      <alignment wrapText="1"/>
    </xf>
    <xf numFmtId="0" fontId="3" fillId="0" borderId="0" xfId="0" applyFont="1" applyAlignment="1"/>
    <xf numFmtId="0" fontId="3" fillId="0" borderId="0" xfId="0" applyFont="1" applyBorder="1" applyAlignment="1"/>
    <xf numFmtId="0" fontId="3" fillId="0" borderId="0" xfId="0" applyFont="1" applyFill="1" applyAlignment="1"/>
    <xf numFmtId="43" fontId="3" fillId="0" borderId="0" xfId="1" applyFont="1" applyAlignment="1">
      <alignment horizontal="center" vertical="center"/>
    </xf>
    <xf numFmtId="0" fontId="3" fillId="0" borderId="0" xfId="0" applyFont="1" applyAlignment="1">
      <alignment horizontal="center" vertical="center"/>
    </xf>
    <xf numFmtId="0" fontId="0" fillId="0" borderId="0" xfId="0" applyAlignment="1"/>
    <xf numFmtId="43" fontId="3" fillId="2" borderId="0" xfId="1" applyFont="1" applyFill="1" applyBorder="1" applyAlignment="1">
      <alignment horizontal="right"/>
    </xf>
    <xf numFmtId="43" fontId="3" fillId="2" borderId="1" xfId="1" applyFont="1" applyFill="1" applyBorder="1" applyAlignment="1">
      <alignment horizontal="right"/>
    </xf>
    <xf numFmtId="9" fontId="3" fillId="0" borderId="0" xfId="2" applyFont="1" applyAlignment="1">
      <alignment horizontal="right"/>
    </xf>
    <xf numFmtId="9" fontId="3" fillId="0" borderId="0" xfId="2" applyFont="1" applyAlignment="1">
      <alignment horizontal="right" wrapText="1"/>
    </xf>
    <xf numFmtId="43" fontId="3" fillId="0" borderId="0" xfId="1" applyFont="1" applyAlignment="1">
      <alignment horizontal="left"/>
    </xf>
    <xf numFmtId="43" fontId="3" fillId="0" borderId="6" xfId="1" applyFont="1" applyBorder="1" applyAlignment="1">
      <alignment horizontal="right"/>
    </xf>
    <xf numFmtId="43" fontId="3" fillId="0" borderId="6" xfId="1" applyFont="1" applyBorder="1" applyAlignment="1">
      <alignment horizontal="right" wrapText="1"/>
    </xf>
    <xf numFmtId="43" fontId="3" fillId="0" borderId="6" xfId="1" applyFont="1" applyFill="1" applyBorder="1" applyAlignment="1">
      <alignment horizontal="right"/>
    </xf>
    <xf numFmtId="43" fontId="3" fillId="0" borderId="6" xfId="1" applyFont="1" applyFill="1" applyBorder="1" applyAlignment="1">
      <alignment horizontal="right" wrapText="1"/>
    </xf>
    <xf numFmtId="43" fontId="0" fillId="0" borderId="0" xfId="1" applyFont="1"/>
    <xf numFmtId="0" fontId="3" fillId="3" borderId="0" xfId="0" applyFont="1" applyFill="1" applyAlignment="1">
      <alignment wrapText="1"/>
    </xf>
    <xf numFmtId="0" fontId="3" fillId="4" borderId="0" xfId="0" applyFont="1" applyFill="1" applyAlignment="1">
      <alignment wrapText="1"/>
    </xf>
    <xf numFmtId="0" fontId="3" fillId="5" borderId="0" xfId="0" applyFont="1" applyFill="1" applyAlignment="1">
      <alignment wrapText="1"/>
    </xf>
    <xf numFmtId="43" fontId="0" fillId="4" borderId="6" xfId="1" applyFont="1" applyFill="1" applyBorder="1"/>
    <xf numFmtId="43" fontId="0" fillId="0" borderId="6" xfId="1" applyFont="1" applyBorder="1"/>
    <xf numFmtId="43" fontId="0" fillId="5" borderId="6" xfId="1" applyFont="1" applyFill="1" applyBorder="1"/>
    <xf numFmtId="43" fontId="0" fillId="3" borderId="6" xfId="1" applyFont="1" applyFill="1" applyBorder="1"/>
    <xf numFmtId="0" fontId="3" fillId="6" borderId="0" xfId="0" applyFont="1" applyFill="1" applyAlignment="1">
      <alignment wrapText="1"/>
    </xf>
    <xf numFmtId="43" fontId="0" fillId="6" borderId="6" xfId="1" applyFont="1" applyFill="1" applyBorder="1"/>
    <xf numFmtId="0" fontId="3" fillId="7" borderId="0" xfId="0" applyFont="1" applyFill="1" applyAlignment="1">
      <alignment wrapText="1"/>
    </xf>
    <xf numFmtId="43" fontId="0" fillId="7" borderId="6" xfId="1" applyFont="1" applyFill="1" applyBorder="1"/>
    <xf numFmtId="43" fontId="0" fillId="8" borderId="6" xfId="1" applyFont="1" applyFill="1" applyBorder="1"/>
    <xf numFmtId="43" fontId="0" fillId="9" borderId="6" xfId="1" applyFont="1" applyFill="1" applyBorder="1"/>
    <xf numFmtId="43" fontId="0" fillId="10" borderId="6" xfId="1" applyFont="1" applyFill="1" applyBorder="1"/>
    <xf numFmtId="43" fontId="0" fillId="11" borderId="6" xfId="1" applyFont="1" applyFill="1" applyBorder="1"/>
    <xf numFmtId="43" fontId="0" fillId="8" borderId="0" xfId="1" applyFont="1" applyFill="1"/>
    <xf numFmtId="43" fontId="0" fillId="14" borderId="0" xfId="1" applyFont="1" applyFill="1"/>
    <xf numFmtId="43" fontId="0" fillId="16" borderId="6" xfId="1" applyFont="1" applyFill="1" applyBorder="1"/>
    <xf numFmtId="43" fontId="0" fillId="16" borderId="0" xfId="1" applyFont="1" applyFill="1"/>
    <xf numFmtId="0" fontId="3" fillId="16" borderId="0" xfId="0" applyFont="1" applyFill="1" applyAlignment="1">
      <alignment wrapText="1"/>
    </xf>
    <xf numFmtId="43" fontId="3" fillId="16" borderId="0" xfId="1" applyFont="1" applyFill="1" applyAlignment="1">
      <alignment horizontal="right"/>
    </xf>
    <xf numFmtId="0" fontId="3" fillId="15" borderId="0" xfId="0" applyFont="1" applyFill="1" applyAlignment="1">
      <alignment wrapText="1"/>
    </xf>
    <xf numFmtId="43" fontId="3" fillId="15" borderId="0" xfId="1" applyFont="1" applyFill="1" applyAlignment="1">
      <alignment horizontal="right"/>
    </xf>
    <xf numFmtId="43" fontId="0" fillId="14" borderId="6" xfId="1" applyFont="1" applyFill="1" applyBorder="1"/>
    <xf numFmtId="43" fontId="0" fillId="7" borderId="0" xfId="1" applyFont="1" applyFill="1"/>
    <xf numFmtId="43" fontId="0" fillId="11" borderId="0" xfId="1" applyFont="1" applyFill="1"/>
    <xf numFmtId="43" fontId="0" fillId="4" borderId="0" xfId="1" applyFont="1" applyFill="1"/>
    <xf numFmtId="43" fontId="0" fillId="3" borderId="0" xfId="1" applyFont="1" applyFill="1"/>
    <xf numFmtId="43" fontId="3" fillId="3" borderId="0" xfId="1" applyFont="1" applyFill="1" applyAlignment="1">
      <alignment horizontal="right"/>
    </xf>
    <xf numFmtId="0" fontId="3" fillId="14" borderId="0" xfId="0" applyFont="1" applyFill="1" applyAlignment="1">
      <alignment wrapText="1"/>
    </xf>
    <xf numFmtId="43" fontId="3" fillId="14" borderId="0" xfId="1" applyFont="1" applyFill="1" applyAlignment="1">
      <alignment horizontal="right"/>
    </xf>
    <xf numFmtId="0" fontId="3" fillId="11" borderId="0" xfId="0" applyFont="1" applyFill="1" applyAlignment="1">
      <alignment wrapText="1"/>
    </xf>
    <xf numFmtId="43" fontId="3" fillId="4" borderId="0" xfId="1" applyFont="1" applyFill="1" applyAlignment="1">
      <alignment horizontal="right"/>
    </xf>
    <xf numFmtId="43" fontId="3" fillId="11" borderId="0" xfId="1" applyFont="1" applyFill="1" applyAlignment="1">
      <alignment horizontal="right"/>
    </xf>
    <xf numFmtId="43" fontId="3" fillId="7" borderId="5" xfId="1" applyFont="1" applyFill="1" applyBorder="1" applyAlignment="1">
      <alignment horizontal="right"/>
    </xf>
    <xf numFmtId="0" fontId="3" fillId="17" borderId="0" xfId="0" applyFont="1" applyFill="1" applyAlignment="1">
      <alignment wrapText="1"/>
    </xf>
    <xf numFmtId="0" fontId="3" fillId="9" borderId="0" xfId="0" applyFont="1" applyFill="1" applyAlignment="1">
      <alignment wrapText="1"/>
    </xf>
    <xf numFmtId="43" fontId="0" fillId="9" borderId="0" xfId="1" applyFont="1" applyFill="1"/>
    <xf numFmtId="43" fontId="3" fillId="9" borderId="0" xfId="1" applyFont="1" applyFill="1" applyAlignment="1">
      <alignment horizontal="right"/>
    </xf>
    <xf numFmtId="43" fontId="0" fillId="6" borderId="0" xfId="1" applyFont="1" applyFill="1"/>
    <xf numFmtId="43" fontId="3" fillId="6" borderId="0" xfId="1" applyFont="1" applyFill="1" applyAlignment="1">
      <alignment horizontal="right"/>
    </xf>
    <xf numFmtId="0" fontId="3" fillId="10" borderId="0" xfId="0" applyFont="1" applyFill="1" applyAlignment="1">
      <alignment wrapText="1"/>
    </xf>
    <xf numFmtId="43" fontId="0" fillId="5" borderId="0" xfId="1" applyFont="1" applyFill="1"/>
    <xf numFmtId="43" fontId="3" fillId="5" borderId="0" xfId="1" applyFont="1" applyFill="1" applyAlignment="1">
      <alignment horizontal="right"/>
    </xf>
    <xf numFmtId="43" fontId="0" fillId="10" borderId="0" xfId="1" applyFont="1" applyFill="1"/>
    <xf numFmtId="43" fontId="3" fillId="10" borderId="0" xfId="1" applyFont="1" applyFill="1" applyAlignment="1">
      <alignment horizontal="right"/>
    </xf>
    <xf numFmtId="43" fontId="0" fillId="0" borderId="6" xfId="1" applyFont="1" applyFill="1" applyBorder="1"/>
    <xf numFmtId="43" fontId="0" fillId="17" borderId="6" xfId="1" applyFont="1" applyFill="1" applyBorder="1"/>
    <xf numFmtId="43" fontId="0" fillId="17" borderId="0" xfId="1" applyFont="1" applyFill="1"/>
    <xf numFmtId="43" fontId="3" fillId="17" borderId="0" xfId="1" applyFont="1" applyFill="1" applyAlignment="1">
      <alignment horizontal="right"/>
    </xf>
    <xf numFmtId="43" fontId="3" fillId="0" borderId="0" xfId="1" applyFont="1" applyFill="1" applyBorder="1" applyAlignment="1">
      <alignment horizontal="right"/>
    </xf>
    <xf numFmtId="43" fontId="3" fillId="0" borderId="0" xfId="1" applyFont="1" applyFill="1" applyAlignment="1">
      <alignment horizontal="center" vertical="center"/>
    </xf>
    <xf numFmtId="0" fontId="3" fillId="0" borderId="0" xfId="0" applyFont="1" applyFill="1" applyBorder="1"/>
    <xf numFmtId="43" fontId="3" fillId="0" borderId="0" xfId="1" applyFont="1" applyFill="1" applyBorder="1"/>
    <xf numFmtId="43" fontId="3" fillId="0" borderId="0" xfId="0" applyNumberFormat="1" applyFont="1" applyFill="1" applyBorder="1"/>
    <xf numFmtId="43" fontId="3" fillId="0" borderId="0" xfId="0" applyNumberFormat="1" applyFont="1" applyFill="1" applyBorder="1" applyAlignment="1">
      <alignment horizontal="center"/>
    </xf>
    <xf numFmtId="49" fontId="8" fillId="0" borderId="0" xfId="0" applyNumberFormat="1" applyFont="1" applyFill="1" applyBorder="1"/>
    <xf numFmtId="49" fontId="8" fillId="0" borderId="6" xfId="0" applyNumberFormat="1" applyFont="1" applyFill="1" applyBorder="1"/>
    <xf numFmtId="43" fontId="3" fillId="0" borderId="6" xfId="0" applyNumberFormat="1" applyFont="1" applyFill="1" applyBorder="1"/>
    <xf numFmtId="9" fontId="3" fillId="0" borderId="0" xfId="2" applyFont="1" applyFill="1" applyBorder="1"/>
    <xf numFmtId="43" fontId="3" fillId="10" borderId="6" xfId="0" applyNumberFormat="1" applyFont="1" applyFill="1" applyBorder="1"/>
    <xf numFmtId="43" fontId="3" fillId="3" borderId="6" xfId="0" applyNumberFormat="1" applyFont="1" applyFill="1" applyBorder="1"/>
    <xf numFmtId="43" fontId="3" fillId="9" borderId="6" xfId="0" applyNumberFormat="1" applyFont="1" applyFill="1" applyBorder="1"/>
    <xf numFmtId="49" fontId="8" fillId="0" borderId="6" xfId="0" applyNumberFormat="1" applyFont="1" applyFill="1" applyBorder="1" applyAlignment="1">
      <alignment wrapText="1"/>
    </xf>
    <xf numFmtId="43" fontId="3" fillId="0" borderId="6" xfId="1" applyNumberFormat="1" applyFont="1" applyFill="1" applyBorder="1"/>
    <xf numFmtId="0" fontId="3" fillId="0" borderId="6" xfId="0" applyFont="1" applyFill="1" applyBorder="1"/>
    <xf numFmtId="0" fontId="3" fillId="0" borderId="0" xfId="0" applyFont="1" applyFill="1" applyAlignment="1">
      <alignment horizontal="right"/>
    </xf>
    <xf numFmtId="0" fontId="3" fillId="0" borderId="6" xfId="0" applyFont="1" applyFill="1" applyBorder="1" applyAlignment="1">
      <alignment horizontal="left"/>
    </xf>
    <xf numFmtId="43" fontId="8" fillId="0" borderId="6" xfId="1" applyFont="1" applyFill="1" applyBorder="1" applyAlignment="1">
      <alignment horizontal="left"/>
    </xf>
    <xf numFmtId="43" fontId="3" fillId="0" borderId="0" xfId="2" applyNumberFormat="1" applyFont="1" applyFill="1" applyBorder="1"/>
    <xf numFmtId="164" fontId="3" fillId="0" borderId="0" xfId="2" applyNumberFormat="1" applyFont="1" applyFill="1" applyBorder="1"/>
    <xf numFmtId="43" fontId="9" fillId="0" borderId="6" xfId="1" applyFont="1" applyFill="1" applyBorder="1" applyAlignment="1">
      <alignment horizontal="left"/>
    </xf>
    <xf numFmtId="49" fontId="8" fillId="0" borderId="0" xfId="0" applyNumberFormat="1" applyFont="1" applyFill="1" applyAlignment="1">
      <alignment horizontal="right"/>
    </xf>
    <xf numFmtId="49" fontId="9" fillId="0" borderId="6" xfId="0" applyNumberFormat="1" applyFont="1" applyFill="1" applyBorder="1" applyAlignment="1">
      <alignment horizontal="left"/>
    </xf>
    <xf numFmtId="165" fontId="8" fillId="0" borderId="0" xfId="1" applyNumberFormat="1" applyFont="1" applyFill="1" applyAlignment="1">
      <alignment horizontal="right"/>
    </xf>
    <xf numFmtId="9" fontId="8" fillId="0" borderId="6" xfId="2" applyFont="1" applyFill="1" applyBorder="1" applyAlignment="1">
      <alignment horizontal="left"/>
    </xf>
    <xf numFmtId="0" fontId="9" fillId="0" borderId="6" xfId="0" applyFont="1" applyFill="1" applyBorder="1" applyAlignment="1">
      <alignment horizontal="left"/>
    </xf>
    <xf numFmtId="43" fontId="8" fillId="0" borderId="0" xfId="1" applyFont="1" applyFill="1" applyAlignment="1">
      <alignment horizontal="left"/>
    </xf>
    <xf numFmtId="0" fontId="10" fillId="0" borderId="0" xfId="0" applyFont="1" applyFill="1" applyAlignment="1">
      <alignment horizontal="right"/>
    </xf>
    <xf numFmtId="0" fontId="10" fillId="0" borderId="6" xfId="0" applyFont="1" applyFill="1" applyBorder="1" applyAlignment="1">
      <alignment horizontal="left"/>
    </xf>
    <xf numFmtId="0" fontId="3" fillId="0" borderId="0" xfId="0" quotePrefix="1" applyFont="1" applyFill="1" applyBorder="1"/>
    <xf numFmtId="0" fontId="11" fillId="0" borderId="0" xfId="0" applyFont="1" applyFill="1" applyBorder="1" applyAlignment="1"/>
    <xf numFmtId="6" fontId="3" fillId="0" borderId="0" xfId="0" applyNumberFormat="1" applyFont="1" applyFill="1" applyBorder="1"/>
    <xf numFmtId="44" fontId="3" fillId="0" borderId="1" xfId="0" applyNumberFormat="1" applyFont="1" applyFill="1" applyBorder="1"/>
    <xf numFmtId="0" fontId="3" fillId="4" borderId="0" xfId="0" applyFont="1" applyFill="1" applyBorder="1"/>
    <xf numFmtId="43" fontId="3" fillId="11" borderId="0" xfId="0" applyNumberFormat="1" applyFont="1" applyFill="1" applyBorder="1"/>
    <xf numFmtId="0" fontId="3" fillId="11" borderId="0" xfId="0" applyFont="1" applyFill="1" applyBorder="1"/>
    <xf numFmtId="0" fontId="3" fillId="7" borderId="0" xfId="0" applyFont="1" applyFill="1" applyBorder="1"/>
    <xf numFmtId="0" fontId="3" fillId="13" borderId="0" xfId="0" applyFont="1" applyFill="1" applyBorder="1"/>
    <xf numFmtId="0" fontId="3" fillId="12" borderId="0" xfId="0" applyFont="1" applyFill="1" applyBorder="1"/>
    <xf numFmtId="43" fontId="0" fillId="0" borderId="0" xfId="0" applyNumberFormat="1"/>
    <xf numFmtId="0" fontId="3" fillId="0" borderId="0" xfId="0" applyFont="1" applyFill="1" applyAlignment="1">
      <alignment horizontal="center" vertical="center"/>
    </xf>
    <xf numFmtId="43" fontId="3" fillId="0" borderId="2" xfId="1" applyFont="1" applyFill="1" applyBorder="1" applyAlignment="1">
      <alignment horizontal="right"/>
    </xf>
    <xf numFmtId="43" fontId="3" fillId="0" borderId="3" xfId="1" applyFont="1" applyFill="1" applyBorder="1" applyAlignment="1">
      <alignment horizontal="right"/>
    </xf>
    <xf numFmtId="43" fontId="3" fillId="0" borderId="3" xfId="1" applyFont="1" applyFill="1" applyBorder="1" applyAlignment="1">
      <alignment horizontal="right" wrapText="1"/>
    </xf>
    <xf numFmtId="43" fontId="3" fillId="0" borderId="4" xfId="1" applyFont="1" applyFill="1" applyBorder="1" applyAlignment="1">
      <alignment horizontal="right"/>
    </xf>
    <xf numFmtId="0" fontId="3" fillId="0" borderId="0" xfId="0" applyFont="1" applyFill="1" applyBorder="1" applyAlignment="1">
      <alignment wrapText="1"/>
    </xf>
    <xf numFmtId="9" fontId="3" fillId="0" borderId="0" xfId="2" applyFont="1" applyFill="1" applyAlignment="1">
      <alignment horizontal="right"/>
    </xf>
    <xf numFmtId="9" fontId="3" fillId="0" borderId="0" xfId="2" applyFont="1" applyFill="1" applyAlignment="1">
      <alignment horizontal="right" wrapText="1"/>
    </xf>
    <xf numFmtId="43" fontId="3" fillId="0" borderId="0" xfId="1" applyFont="1" applyFill="1" applyAlignment="1">
      <alignment horizontal="left"/>
    </xf>
    <xf numFmtId="0" fontId="2" fillId="0" borderId="0" xfId="0" applyFont="1" applyAlignment="1">
      <alignment horizontal="center" vertical="center" wrapText="1"/>
    </xf>
    <xf numFmtId="0" fontId="4" fillId="0" borderId="0" xfId="0" applyFont="1" applyFill="1" applyAlignment="1" applyProtection="1"/>
    <xf numFmtId="0" fontId="3" fillId="0" borderId="0" xfId="0" applyFont="1" applyFill="1" applyProtection="1"/>
    <xf numFmtId="0" fontId="3" fillId="0" borderId="0" xfId="0" applyFont="1" applyFill="1" applyAlignment="1" applyProtection="1">
      <alignment horizontal="center"/>
    </xf>
    <xf numFmtId="168" fontId="3" fillId="0" borderId="0" xfId="0" applyNumberFormat="1" applyFont="1" applyFill="1" applyProtection="1"/>
    <xf numFmtId="44" fontId="3" fillId="0" borderId="0" xfId="0" applyNumberFormat="1" applyFont="1" applyFill="1" applyProtection="1"/>
    <xf numFmtId="9" fontId="3" fillId="0" borderId="0" xfId="2" applyFont="1" applyFill="1" applyProtection="1"/>
    <xf numFmtId="0" fontId="3" fillId="0" borderId="0" xfId="0" applyFont="1" applyFill="1" applyAlignment="1" applyProtection="1">
      <alignment horizontal="right"/>
    </xf>
    <xf numFmtId="0" fontId="3" fillId="0" borderId="0" xfId="0" applyFont="1" applyFill="1" applyAlignment="1" applyProtection="1">
      <alignment horizontal="left"/>
    </xf>
    <xf numFmtId="0" fontId="12" fillId="0" borderId="0" xfId="0" applyFont="1" applyFill="1" applyAlignment="1" applyProtection="1">
      <alignment horizontal="left"/>
    </xf>
    <xf numFmtId="43" fontId="3" fillId="0" borderId="0" xfId="0" applyNumberFormat="1" applyFont="1" applyFill="1" applyProtection="1"/>
    <xf numFmtId="0" fontId="13" fillId="0" borderId="0" xfId="0" applyFont="1" applyFill="1" applyAlignment="1" applyProtection="1"/>
    <xf numFmtId="0" fontId="2" fillId="0" borderId="0" xfId="0" applyFont="1" applyFill="1" applyProtection="1"/>
    <xf numFmtId="0" fontId="2" fillId="0" borderId="0" xfId="0" applyFont="1" applyFill="1" applyAlignment="1" applyProtection="1">
      <alignment horizontal="right"/>
    </xf>
    <xf numFmtId="0" fontId="2" fillId="0" borderId="0" xfId="0" applyFont="1" applyFill="1" applyAlignment="1" applyProtection="1">
      <alignment horizontal="left"/>
    </xf>
    <xf numFmtId="0" fontId="2" fillId="0" borderId="0" xfId="0" applyFont="1" applyFill="1" applyAlignment="1" applyProtection="1">
      <alignment horizontal="center"/>
    </xf>
    <xf numFmtId="0" fontId="14" fillId="0" borderId="6" xfId="0" applyFont="1" applyFill="1" applyBorder="1" applyAlignment="1" applyProtection="1">
      <alignment horizontal="left"/>
    </xf>
    <xf numFmtId="0" fontId="4" fillId="0" borderId="6" xfId="0" applyFont="1" applyFill="1" applyBorder="1" applyAlignment="1" applyProtection="1">
      <alignment horizontal="center"/>
    </xf>
    <xf numFmtId="43" fontId="4" fillId="0" borderId="6" xfId="1" applyFont="1" applyFill="1" applyBorder="1" applyAlignment="1" applyProtection="1">
      <alignment horizontal="center"/>
    </xf>
    <xf numFmtId="0" fontId="4" fillId="0" borderId="0" xfId="0" applyFont="1" applyFill="1" applyAlignment="1" applyProtection="1">
      <alignment horizontal="center"/>
    </xf>
    <xf numFmtId="49" fontId="15" fillId="0" borderId="0" xfId="0" applyNumberFormat="1" applyFont="1" applyFill="1" applyAlignment="1" applyProtection="1">
      <alignment horizontal="right"/>
    </xf>
    <xf numFmtId="49" fontId="15" fillId="0" borderId="6" xfId="0" applyNumberFormat="1" applyFont="1" applyFill="1" applyBorder="1" applyAlignment="1" applyProtection="1">
      <alignment horizontal="left"/>
    </xf>
    <xf numFmtId="166" fontId="2" fillId="0" borderId="6" xfId="0" applyNumberFormat="1" applyFont="1" applyFill="1" applyBorder="1" applyProtection="1"/>
    <xf numFmtId="43" fontId="2" fillId="0" borderId="6" xfId="0" applyNumberFormat="1" applyFont="1" applyFill="1" applyBorder="1" applyProtection="1"/>
    <xf numFmtId="43" fontId="2" fillId="9" borderId="6" xfId="0" applyNumberFormat="1" applyFont="1" applyFill="1" applyBorder="1" applyProtection="1"/>
    <xf numFmtId="43" fontId="2" fillId="18" borderId="6" xfId="0" applyNumberFormat="1" applyFont="1" applyFill="1" applyBorder="1" applyProtection="1"/>
    <xf numFmtId="0" fontId="2" fillId="0" borderId="6" xfId="0" applyFont="1" applyFill="1" applyBorder="1" applyAlignment="1" applyProtection="1">
      <alignment horizontal="left"/>
    </xf>
    <xf numFmtId="0" fontId="2" fillId="0" borderId="6" xfId="0" applyFont="1" applyFill="1" applyBorder="1" applyProtection="1"/>
    <xf numFmtId="0" fontId="2" fillId="18" borderId="6" xfId="0" applyFont="1" applyFill="1" applyBorder="1" applyProtection="1"/>
    <xf numFmtId="168" fontId="2" fillId="0" borderId="0" xfId="0" applyNumberFormat="1" applyFont="1" applyFill="1" applyProtection="1"/>
    <xf numFmtId="44" fontId="2" fillId="0" borderId="0" xfId="0" applyNumberFormat="1" applyFont="1" applyFill="1" applyProtection="1"/>
    <xf numFmtId="0" fontId="2" fillId="9" borderId="6" xfId="0" applyFont="1" applyFill="1" applyBorder="1" applyProtection="1"/>
    <xf numFmtId="0" fontId="4" fillId="19" borderId="6" xfId="0" applyFont="1" applyFill="1" applyBorder="1" applyAlignment="1" applyProtection="1">
      <alignment horizontal="left"/>
    </xf>
    <xf numFmtId="168" fontId="4" fillId="19" borderId="6" xfId="3" applyNumberFormat="1" applyFont="1" applyFill="1" applyBorder="1" applyProtection="1"/>
    <xf numFmtId="43" fontId="4" fillId="19" borderId="6" xfId="0" applyNumberFormat="1" applyFont="1" applyFill="1" applyBorder="1" applyProtection="1"/>
    <xf numFmtId="44" fontId="4" fillId="19" borderId="6" xfId="3" applyFont="1" applyFill="1" applyBorder="1" applyProtection="1"/>
    <xf numFmtId="0" fontId="4" fillId="0" borderId="0" xfId="0" applyFont="1" applyFill="1" applyAlignment="1" applyProtection="1">
      <alignment horizontal="left"/>
    </xf>
    <xf numFmtId="43" fontId="2" fillId="0" borderId="0" xfId="0" applyNumberFormat="1" applyFont="1" applyFill="1" applyProtection="1"/>
    <xf numFmtId="1" fontId="2" fillId="0" borderId="6" xfId="0" applyNumberFormat="1" applyFont="1" applyFill="1" applyBorder="1" applyAlignment="1" applyProtection="1">
      <alignment horizontal="left"/>
    </xf>
    <xf numFmtId="43" fontId="2" fillId="0" borderId="6" xfId="0" applyNumberFormat="1" applyFont="1" applyBorder="1" applyProtection="1"/>
    <xf numFmtId="44" fontId="2" fillId="0" borderId="6" xfId="3" applyFont="1" applyFill="1" applyBorder="1" applyProtection="1"/>
    <xf numFmtId="44" fontId="2" fillId="0" borderId="6" xfId="0" applyNumberFormat="1" applyFont="1" applyFill="1" applyBorder="1" applyProtection="1"/>
    <xf numFmtId="9" fontId="2" fillId="0" borderId="0" xfId="2" applyFont="1" applyFill="1" applyProtection="1"/>
    <xf numFmtId="1" fontId="2" fillId="0" borderId="6" xfId="0" quotePrefix="1" applyNumberFormat="1" applyFont="1" applyFill="1" applyBorder="1" applyAlignment="1" applyProtection="1">
      <alignment horizontal="left"/>
    </xf>
    <xf numFmtId="0" fontId="2" fillId="20" borderId="6" xfId="0" applyFont="1" applyFill="1" applyBorder="1" applyAlignment="1" applyProtection="1">
      <alignment horizontal="left"/>
    </xf>
    <xf numFmtId="1" fontId="15" fillId="0" borderId="6" xfId="1" applyNumberFormat="1" applyFont="1" applyFill="1" applyBorder="1" applyAlignment="1" applyProtection="1">
      <alignment horizontal="left"/>
    </xf>
    <xf numFmtId="1" fontId="15" fillId="0" borderId="6" xfId="2" applyNumberFormat="1" applyFont="1" applyFill="1" applyBorder="1" applyAlignment="1" applyProtection="1">
      <alignment horizontal="left"/>
    </xf>
    <xf numFmtId="1" fontId="15" fillId="0" borderId="6" xfId="1" quotePrefix="1" applyNumberFormat="1" applyFont="1" applyFill="1" applyBorder="1" applyAlignment="1" applyProtection="1">
      <alignment horizontal="left"/>
    </xf>
    <xf numFmtId="0" fontId="2" fillId="18" borderId="6" xfId="0" applyFont="1" applyFill="1" applyBorder="1" applyAlignment="1" applyProtection="1">
      <alignment horizontal="left"/>
    </xf>
    <xf numFmtId="0" fontId="4" fillId="21" borderId="6" xfId="0" applyFont="1" applyFill="1" applyBorder="1" applyAlignment="1" applyProtection="1">
      <alignment horizontal="left"/>
    </xf>
    <xf numFmtId="44" fontId="4" fillId="21" borderId="6" xfId="3" applyFont="1" applyFill="1" applyBorder="1" applyProtection="1"/>
    <xf numFmtId="0" fontId="4" fillId="21" borderId="6" xfId="0" applyFont="1" applyFill="1" applyBorder="1" applyProtection="1"/>
    <xf numFmtId="43" fontId="4" fillId="21" borderId="6" xfId="0" applyNumberFormat="1" applyFont="1" applyFill="1" applyBorder="1" applyProtection="1"/>
    <xf numFmtId="0" fontId="4" fillId="2" borderId="7" xfId="0" applyFont="1" applyFill="1" applyBorder="1" applyAlignment="1" applyProtection="1">
      <alignment horizontal="left"/>
    </xf>
    <xf numFmtId="44" fontId="4" fillId="2" borderId="7" xfId="3" applyFont="1" applyFill="1" applyBorder="1" applyProtection="1"/>
    <xf numFmtId="166" fontId="2" fillId="9" borderId="6" xfId="0" applyNumberFormat="1" applyFont="1" applyFill="1" applyBorder="1" applyProtection="1"/>
    <xf numFmtId="0" fontId="2" fillId="9" borderId="0" xfId="0" applyFont="1" applyFill="1" applyProtection="1"/>
    <xf numFmtId="166" fontId="2" fillId="9" borderId="0" xfId="0" applyNumberFormat="1" applyFont="1" applyFill="1" applyProtection="1"/>
    <xf numFmtId="166" fontId="2" fillId="3" borderId="6" xfId="0" applyNumberFormat="1" applyFont="1" applyFill="1" applyBorder="1" applyProtection="1"/>
    <xf numFmtId="43" fontId="2" fillId="3" borderId="6" xfId="0" applyNumberFormat="1" applyFont="1" applyFill="1" applyBorder="1" applyProtection="1"/>
    <xf numFmtId="0" fontId="2" fillId="3" borderId="0" xfId="0" applyFont="1" applyFill="1" applyProtection="1"/>
    <xf numFmtId="166" fontId="2" fillId="3" borderId="0" xfId="0" applyNumberFormat="1" applyFont="1" applyFill="1" applyProtection="1"/>
    <xf numFmtId="0" fontId="2" fillId="5" borderId="0" xfId="0" applyFont="1" applyFill="1" applyProtection="1"/>
    <xf numFmtId="0" fontId="2" fillId="4" borderId="0" xfId="0" applyFont="1" applyFill="1" applyProtection="1"/>
    <xf numFmtId="166" fontId="2" fillId="4" borderId="6" xfId="0" applyNumberFormat="1" applyFont="1" applyFill="1" applyBorder="1" applyProtection="1"/>
    <xf numFmtId="43" fontId="2" fillId="4" borderId="6" xfId="0" applyNumberFormat="1" applyFont="1" applyFill="1" applyBorder="1" applyProtection="1"/>
    <xf numFmtId="166" fontId="2" fillId="4" borderId="0" xfId="0" applyNumberFormat="1" applyFont="1" applyFill="1" applyProtection="1"/>
    <xf numFmtId="166" fontId="2" fillId="5" borderId="6" xfId="0" applyNumberFormat="1" applyFont="1" applyFill="1" applyBorder="1" applyProtection="1"/>
    <xf numFmtId="0" fontId="2" fillId="5" borderId="6" xfId="0" applyFont="1" applyFill="1" applyBorder="1" applyProtection="1"/>
    <xf numFmtId="43" fontId="2" fillId="5" borderId="6" xfId="0" applyNumberFormat="1" applyFont="1" applyFill="1" applyBorder="1" applyProtection="1"/>
    <xf numFmtId="166" fontId="2" fillId="5" borderId="0" xfId="0" applyNumberFormat="1" applyFont="1" applyFill="1" applyProtection="1"/>
    <xf numFmtId="0" fontId="2" fillId="10" borderId="0" xfId="0" applyFont="1" applyFill="1" applyProtection="1"/>
    <xf numFmtId="0" fontId="2" fillId="19" borderId="0" xfId="0" applyFont="1" applyFill="1" applyProtection="1"/>
    <xf numFmtId="166" fontId="2" fillId="10" borderId="6" xfId="0" applyNumberFormat="1" applyFont="1" applyFill="1" applyBorder="1" applyProtection="1"/>
    <xf numFmtId="43" fontId="2" fillId="10" borderId="6" xfId="0" applyNumberFormat="1" applyFont="1" applyFill="1" applyBorder="1" applyProtection="1"/>
    <xf numFmtId="167" fontId="0" fillId="10" borderId="0" xfId="0" applyNumberFormat="1" applyFont="1" applyFill="1" applyAlignment="1" applyProtection="1">
      <alignment wrapText="1"/>
    </xf>
    <xf numFmtId="0" fontId="0" fillId="10" borderId="0" xfId="0" applyFont="1" applyFill="1" applyAlignment="1" applyProtection="1">
      <alignment wrapText="1"/>
    </xf>
    <xf numFmtId="166" fontId="2" fillId="10" borderId="0" xfId="0" applyNumberFormat="1" applyFont="1" applyFill="1" applyProtection="1"/>
    <xf numFmtId="166" fontId="2" fillId="19" borderId="6" xfId="0" applyNumberFormat="1" applyFont="1" applyFill="1" applyBorder="1" applyProtection="1"/>
    <xf numFmtId="43" fontId="2" fillId="19" borderId="6" xfId="0" applyNumberFormat="1" applyFont="1" applyFill="1" applyBorder="1" applyProtection="1"/>
    <xf numFmtId="166" fontId="2" fillId="19" borderId="0" xfId="0" applyNumberFormat="1" applyFont="1" applyFill="1" applyProtection="1"/>
    <xf numFmtId="43" fontId="2" fillId="9" borderId="6" xfId="1" applyFont="1" applyFill="1" applyBorder="1" applyProtection="1"/>
    <xf numFmtId="0" fontId="3" fillId="0" borderId="0" xfId="0" applyFont="1" applyFill="1" applyAlignment="1">
      <alignment vertical="center" wrapText="1"/>
    </xf>
    <xf numFmtId="167" fontId="0" fillId="10" borderId="0" xfId="0" applyNumberFormat="1" applyFont="1" applyFill="1" applyAlignment="1" applyProtection="1">
      <alignment vertical="center" wrapText="1"/>
    </xf>
    <xf numFmtId="44" fontId="2" fillId="9" borderId="6" xfId="3" applyFont="1" applyFill="1" applyBorder="1" applyProtection="1"/>
    <xf numFmtId="44" fontId="2" fillId="9" borderId="6" xfId="0" applyNumberFormat="1" applyFont="1" applyFill="1" applyBorder="1" applyProtection="1"/>
    <xf numFmtId="44" fontId="2" fillId="9" borderId="0" xfId="0" applyNumberFormat="1" applyFont="1" applyFill="1" applyProtection="1"/>
    <xf numFmtId="44" fontId="2" fillId="4" borderId="6" xfId="3" applyFont="1" applyFill="1" applyBorder="1" applyProtection="1"/>
    <xf numFmtId="44" fontId="2" fillId="4" borderId="0" xfId="0" applyNumberFormat="1" applyFont="1" applyFill="1" applyProtection="1"/>
    <xf numFmtId="44" fontId="2" fillId="14" borderId="6" xfId="3" applyFont="1" applyFill="1" applyBorder="1" applyProtection="1"/>
    <xf numFmtId="44" fontId="2" fillId="14" borderId="6" xfId="0" applyNumberFormat="1" applyFont="1" applyFill="1" applyBorder="1" applyProtection="1"/>
    <xf numFmtId="43" fontId="2" fillId="14" borderId="6" xfId="0" applyNumberFormat="1" applyFont="1" applyFill="1" applyBorder="1" applyProtection="1"/>
    <xf numFmtId="44" fontId="2" fillId="22" borderId="6" xfId="3" applyFont="1" applyFill="1" applyBorder="1" applyProtection="1"/>
    <xf numFmtId="44" fontId="2" fillId="22" borderId="6" xfId="0" applyNumberFormat="1" applyFont="1" applyFill="1" applyBorder="1" applyProtection="1"/>
    <xf numFmtId="43" fontId="2" fillId="22" borderId="6" xfId="0" applyNumberFormat="1" applyFont="1" applyFill="1" applyBorder="1" applyProtection="1"/>
    <xf numFmtId="0" fontId="2" fillId="22" borderId="0" xfId="0" applyFont="1" applyFill="1" applyProtection="1"/>
    <xf numFmtId="0" fontId="2" fillId="22" borderId="6" xfId="0" applyFont="1" applyFill="1" applyBorder="1" applyProtection="1"/>
    <xf numFmtId="44" fontId="2" fillId="22" borderId="0" xfId="0" applyNumberFormat="1" applyFont="1" applyFill="1" applyProtection="1"/>
    <xf numFmtId="44" fontId="2" fillId="15" borderId="6" xfId="3" applyFont="1" applyFill="1" applyBorder="1" applyProtection="1"/>
    <xf numFmtId="43" fontId="2" fillId="15" borderId="0" xfId="0" applyNumberFormat="1" applyFont="1" applyFill="1" applyProtection="1"/>
    <xf numFmtId="44" fontId="2" fillId="14" borderId="0" xfId="0" applyNumberFormat="1" applyFont="1" applyFill="1" applyProtection="1"/>
    <xf numFmtId="44" fontId="2" fillId="24" borderId="6" xfId="3" applyFont="1" applyFill="1" applyBorder="1" applyProtection="1"/>
    <xf numFmtId="44" fontId="2" fillId="24" borderId="6" xfId="0" applyNumberFormat="1" applyFont="1" applyFill="1" applyBorder="1" applyProtection="1"/>
    <xf numFmtId="43" fontId="2" fillId="24" borderId="6" xfId="0" applyNumberFormat="1" applyFont="1" applyFill="1" applyBorder="1" applyProtection="1"/>
    <xf numFmtId="0" fontId="2" fillId="24" borderId="0" xfId="0" applyFont="1" applyFill="1" applyProtection="1"/>
    <xf numFmtId="0" fontId="2" fillId="24" borderId="6" xfId="0" applyFont="1" applyFill="1" applyBorder="1" applyProtection="1"/>
    <xf numFmtId="44" fontId="2" fillId="24" borderId="0" xfId="0" applyNumberFormat="1" applyFont="1" applyFill="1" applyProtection="1"/>
    <xf numFmtId="0" fontId="13" fillId="0" borderId="2" xfId="0" applyFont="1" applyFill="1" applyBorder="1" applyAlignment="1" applyProtection="1"/>
    <xf numFmtId="0" fontId="13" fillId="0" borderId="3" xfId="0" applyFont="1" applyFill="1" applyBorder="1" applyAlignment="1" applyProtection="1"/>
    <xf numFmtId="0" fontId="13" fillId="0" borderId="4" xfId="0" applyFont="1" applyFill="1" applyBorder="1" applyAlignment="1" applyProtection="1"/>
    <xf numFmtId="0" fontId="16" fillId="0" borderId="0" xfId="0" applyFont="1" applyFill="1" applyAlignment="1" applyProtection="1">
      <alignment horizontal="left"/>
    </xf>
    <xf numFmtId="0" fontId="12" fillId="0" borderId="0" xfId="0" applyFont="1" applyFill="1" applyAlignment="1" applyProtection="1">
      <alignment horizontal="center"/>
    </xf>
    <xf numFmtId="43" fontId="12" fillId="0" borderId="8" xfId="1" applyFont="1" applyFill="1" applyBorder="1" applyAlignment="1" applyProtection="1">
      <alignment horizontal="center"/>
    </xf>
    <xf numFmtId="0" fontId="12" fillId="0" borderId="0" xfId="0" applyFont="1" applyFill="1" applyBorder="1" applyAlignment="1" applyProtection="1">
      <alignment horizontal="center"/>
    </xf>
    <xf numFmtId="49" fontId="8" fillId="0" borderId="0" xfId="0" applyNumberFormat="1" applyFont="1" applyFill="1" applyAlignment="1" applyProtection="1">
      <alignment horizontal="right"/>
    </xf>
    <xf numFmtId="49" fontId="8" fillId="0" borderId="6" xfId="0" applyNumberFormat="1" applyFont="1" applyFill="1" applyBorder="1" applyAlignment="1" applyProtection="1">
      <alignment horizontal="left"/>
    </xf>
    <xf numFmtId="167" fontId="17" fillId="0" borderId="6" xfId="0" applyNumberFormat="1" applyFont="1" applyBorder="1" applyProtection="1"/>
    <xf numFmtId="166" fontId="3" fillId="0" borderId="6" xfId="0" applyNumberFormat="1" applyFont="1" applyFill="1" applyBorder="1" applyProtection="1"/>
    <xf numFmtId="43" fontId="3" fillId="0" borderId="6" xfId="0" applyNumberFormat="1" applyFont="1" applyFill="1" applyBorder="1" applyProtection="1"/>
    <xf numFmtId="43" fontId="12" fillId="0" borderId="0" xfId="0" applyNumberFormat="1" applyFont="1" applyFill="1" applyAlignment="1" applyProtection="1">
      <alignment horizontal="left"/>
    </xf>
    <xf numFmtId="167" fontId="17" fillId="23" borderId="6" xfId="0" applyNumberFormat="1" applyFont="1" applyFill="1" applyBorder="1" applyProtection="1"/>
    <xf numFmtId="0" fontId="3" fillId="0" borderId="0" xfId="0" applyFont="1" applyFill="1" applyBorder="1" applyProtection="1"/>
    <xf numFmtId="49" fontId="8" fillId="0" borderId="6" xfId="0" applyNumberFormat="1" applyFont="1" applyFill="1" applyBorder="1" applyProtection="1"/>
    <xf numFmtId="0" fontId="3" fillId="0" borderId="6" xfId="0" applyFont="1" applyFill="1" applyBorder="1" applyProtection="1"/>
    <xf numFmtId="49" fontId="8" fillId="0" borderId="6" xfId="0" applyNumberFormat="1" applyFont="1" applyFill="1" applyBorder="1" applyAlignment="1" applyProtection="1">
      <alignment wrapText="1"/>
    </xf>
    <xf numFmtId="0" fontId="3" fillId="0" borderId="6" xfId="0" applyFont="1" applyFill="1" applyBorder="1" applyAlignment="1" applyProtection="1">
      <alignment horizontal="left"/>
    </xf>
    <xf numFmtId="0" fontId="12" fillId="19" borderId="6" xfId="0" applyFont="1" applyFill="1" applyBorder="1" applyAlignment="1" applyProtection="1">
      <alignment horizontal="left"/>
    </xf>
    <xf numFmtId="168" fontId="12" fillId="19" borderId="6" xfId="3" applyNumberFormat="1" applyFont="1" applyFill="1" applyBorder="1" applyProtection="1"/>
    <xf numFmtId="1" fontId="3" fillId="0" borderId="6" xfId="0" applyNumberFormat="1" applyFont="1" applyFill="1" applyBorder="1" applyAlignment="1" applyProtection="1">
      <alignment horizontal="left"/>
    </xf>
    <xf numFmtId="1" fontId="3" fillId="0" borderId="6" xfId="0" quotePrefix="1" applyNumberFormat="1" applyFont="1" applyFill="1" applyBorder="1" applyAlignment="1" applyProtection="1">
      <alignment horizontal="left"/>
    </xf>
    <xf numFmtId="0" fontId="3" fillId="20" borderId="6" xfId="0" applyFont="1" applyFill="1" applyBorder="1" applyAlignment="1" applyProtection="1">
      <alignment horizontal="left"/>
    </xf>
    <xf numFmtId="1" fontId="8" fillId="0" borderId="6" xfId="1" applyNumberFormat="1" applyFont="1" applyFill="1" applyBorder="1" applyAlignment="1" applyProtection="1">
      <alignment horizontal="left"/>
    </xf>
    <xf numFmtId="1" fontId="8" fillId="0" borderId="6" xfId="2" applyNumberFormat="1" applyFont="1" applyFill="1" applyBorder="1" applyAlignment="1" applyProtection="1">
      <alignment horizontal="left"/>
    </xf>
    <xf numFmtId="1" fontId="8" fillId="0" borderId="6" xfId="1" quotePrefix="1" applyNumberFormat="1" applyFont="1" applyFill="1" applyBorder="1" applyAlignment="1" applyProtection="1">
      <alignment horizontal="left"/>
    </xf>
    <xf numFmtId="43" fontId="3" fillId="0" borderId="6" xfId="0" applyNumberFormat="1" applyFont="1" applyBorder="1" applyProtection="1"/>
    <xf numFmtId="0" fontId="12" fillId="21" borderId="6" xfId="0" applyFont="1" applyFill="1" applyBorder="1" applyAlignment="1" applyProtection="1">
      <alignment horizontal="left"/>
    </xf>
    <xf numFmtId="44" fontId="12" fillId="21" borderId="6" xfId="3" applyFont="1" applyFill="1" applyBorder="1" applyProtection="1"/>
    <xf numFmtId="0" fontId="12" fillId="2" borderId="7" xfId="0" applyFont="1" applyFill="1" applyBorder="1" applyAlignment="1" applyProtection="1">
      <alignment horizontal="left"/>
    </xf>
    <xf numFmtId="44" fontId="12" fillId="2" borderId="7" xfId="3" applyFont="1" applyFill="1" applyBorder="1" applyProtection="1"/>
    <xf numFmtId="44" fontId="3" fillId="0" borderId="0" xfId="0" applyNumberFormat="1" applyFont="1" applyFill="1"/>
    <xf numFmtId="49" fontId="19" fillId="0" borderId="0" xfId="0" applyNumberFormat="1" applyFont="1" applyFill="1" applyProtection="1"/>
    <xf numFmtId="49" fontId="19" fillId="0" borderId="0" xfId="0" applyNumberFormat="1" applyFont="1" applyProtection="1"/>
    <xf numFmtId="0" fontId="18" fillId="0" borderId="0" xfId="0" applyFont="1"/>
    <xf numFmtId="44" fontId="0" fillId="0" borderId="0" xfId="3" applyFont="1"/>
    <xf numFmtId="44" fontId="0" fillId="0" borderId="0" xfId="0" applyNumberFormat="1"/>
    <xf numFmtId="43" fontId="3" fillId="0" borderId="0" xfId="0" applyNumberFormat="1" applyFont="1" applyFill="1"/>
    <xf numFmtId="43" fontId="18" fillId="0" borderId="0" xfId="1" applyFont="1"/>
    <xf numFmtId="0" fontId="2" fillId="2" borderId="6" xfId="0" applyFont="1" applyFill="1" applyBorder="1" applyAlignment="1" applyProtection="1">
      <alignment horizontal="left"/>
    </xf>
    <xf numFmtId="43" fontId="12" fillId="0" borderId="3" xfId="1" applyFont="1" applyFill="1" applyBorder="1" applyAlignment="1">
      <alignment horizontal="right"/>
    </xf>
    <xf numFmtId="43" fontId="12" fillId="0" borderId="3" xfId="1" applyFont="1" applyFill="1" applyBorder="1" applyAlignment="1">
      <alignment horizontal="right" wrapText="1"/>
    </xf>
    <xf numFmtId="43" fontId="12" fillId="0" borderId="0" xfId="1" applyFont="1" applyFill="1" applyBorder="1" applyAlignment="1">
      <alignment horizontal="right"/>
    </xf>
    <xf numFmtId="43" fontId="12" fillId="0" borderId="0" xfId="1" applyFont="1" applyFill="1" applyBorder="1" applyAlignment="1">
      <alignment horizontal="right" wrapText="1"/>
    </xf>
    <xf numFmtId="0" fontId="2" fillId="25" borderId="6" xfId="0" applyFont="1" applyFill="1" applyBorder="1" applyAlignment="1" applyProtection="1">
      <alignment horizontal="left"/>
    </xf>
    <xf numFmtId="0" fontId="20" fillId="0" borderId="0" xfId="0" applyFont="1" applyFill="1"/>
    <xf numFmtId="44" fontId="20" fillId="0" borderId="0" xfId="0" applyNumberFormat="1" applyFont="1" applyFill="1"/>
    <xf numFmtId="166" fontId="2" fillId="0" borderId="0" xfId="0" applyNumberFormat="1" applyFont="1" applyAlignment="1">
      <alignment horizontal="center" vertical="center" wrapText="1"/>
    </xf>
    <xf numFmtId="166" fontId="2" fillId="0" borderId="0" xfId="0" applyNumberFormat="1" applyFont="1" applyFill="1" applyAlignment="1">
      <alignment horizontal="center" vertical="center" wrapText="1"/>
    </xf>
    <xf numFmtId="166" fontId="3" fillId="0" borderId="0" xfId="1" applyNumberFormat="1" applyFont="1" applyFill="1" applyAlignment="1">
      <alignment horizontal="right"/>
    </xf>
    <xf numFmtId="166" fontId="0" fillId="0" borderId="0" xfId="0" applyNumberFormat="1"/>
    <xf numFmtId="166" fontId="3" fillId="0" borderId="0" xfId="1" applyNumberFormat="1" applyFont="1" applyFill="1"/>
    <xf numFmtId="166" fontId="3" fillId="0" borderId="5" xfId="1" applyNumberFormat="1" applyFont="1" applyFill="1" applyBorder="1"/>
    <xf numFmtId="166" fontId="0" fillId="0" borderId="0" xfId="1" applyNumberFormat="1" applyFont="1" applyFill="1"/>
    <xf numFmtId="168" fontId="12" fillId="2" borderId="7" xfId="3" applyNumberFormat="1" applyFont="1" applyFill="1" applyBorder="1" applyProtection="1"/>
    <xf numFmtId="168" fontId="12" fillId="21" borderId="6" xfId="0" applyNumberFormat="1" applyFont="1" applyFill="1" applyBorder="1" applyProtection="1"/>
    <xf numFmtId="168" fontId="12" fillId="21" borderId="6" xfId="3" applyNumberFormat="1" applyFont="1" applyFill="1" applyBorder="1" applyProtection="1"/>
    <xf numFmtId="168" fontId="3" fillId="18" borderId="6" xfId="0" applyNumberFormat="1" applyFont="1" applyFill="1" applyBorder="1" applyProtection="1"/>
    <xf numFmtId="168" fontId="3" fillId="0" borderId="6" xfId="0" applyNumberFormat="1" applyFont="1" applyFill="1" applyBorder="1" applyProtection="1"/>
    <xf numFmtId="168" fontId="3" fillId="9" borderId="6" xfId="0" applyNumberFormat="1" applyFont="1" applyFill="1" applyBorder="1" applyProtection="1"/>
    <xf numFmtId="168" fontId="3" fillId="0" borderId="6" xfId="1" applyNumberFormat="1" applyFont="1" applyFill="1" applyBorder="1" applyProtection="1"/>
    <xf numFmtId="168" fontId="3" fillId="0" borderId="6" xfId="3" applyNumberFormat="1" applyFont="1" applyFill="1" applyBorder="1" applyProtection="1"/>
    <xf numFmtId="168" fontId="17" fillId="0" borderId="6" xfId="0" applyNumberFormat="1" applyFont="1" applyBorder="1" applyProtection="1"/>
    <xf numFmtId="168" fontId="17" fillId="0" borderId="6" xfId="1" applyNumberFormat="1" applyFont="1" applyBorder="1" applyProtection="1"/>
    <xf numFmtId="0" fontId="12" fillId="0" borderId="0" xfId="0" applyFont="1" applyAlignment="1"/>
    <xf numFmtId="0" fontId="12" fillId="0" borderId="0" xfId="0" applyFont="1"/>
    <xf numFmtId="166" fontId="21" fillId="0" borderId="0" xfId="1" applyNumberFormat="1" applyFont="1" applyFill="1"/>
    <xf numFmtId="166" fontId="12" fillId="0" borderId="1" xfId="1" applyNumberFormat="1" applyFont="1" applyFill="1" applyBorder="1"/>
    <xf numFmtId="166" fontId="3" fillId="0" borderId="0" xfId="1" applyNumberFormat="1" applyFont="1" applyFill="1" applyAlignment="1">
      <alignment horizontal="right" wrapText="1"/>
    </xf>
    <xf numFmtId="166" fontId="3" fillId="0" borderId="6" xfId="1" applyNumberFormat="1" applyFont="1" applyFill="1" applyBorder="1" applyAlignment="1">
      <alignment horizontal="right"/>
    </xf>
    <xf numFmtId="166" fontId="3" fillId="0" borderId="6" xfId="1" applyNumberFormat="1" applyFont="1" applyFill="1" applyBorder="1" applyAlignment="1">
      <alignment horizontal="right" wrapText="1"/>
    </xf>
    <xf numFmtId="0" fontId="12" fillId="0" borderId="0" xfId="0" applyFont="1" applyFill="1" applyAlignment="1">
      <alignment wrapText="1"/>
    </xf>
    <xf numFmtId="0" fontId="12" fillId="0" borderId="0" xfId="0" applyFont="1" applyFill="1"/>
    <xf numFmtId="166" fontId="12" fillId="0" borderId="0" xfId="1" applyNumberFormat="1" applyFont="1" applyFill="1" applyBorder="1" applyAlignment="1">
      <alignment horizontal="right"/>
    </xf>
    <xf numFmtId="43" fontId="12" fillId="0" borderId="2" xfId="1" applyFont="1" applyFill="1" applyBorder="1" applyAlignment="1">
      <alignment horizontal="right"/>
    </xf>
    <xf numFmtId="43" fontId="12" fillId="0" borderId="4" xfId="1" applyFont="1" applyFill="1" applyBorder="1" applyAlignment="1">
      <alignment horizontal="right"/>
    </xf>
    <xf numFmtId="166" fontId="12" fillId="0" borderId="1" xfId="1" applyNumberFormat="1" applyFont="1" applyFill="1" applyBorder="1" applyAlignment="1">
      <alignment horizontal="right"/>
    </xf>
    <xf numFmtId="0" fontId="0" fillId="0" borderId="0" xfId="0" applyBorder="1"/>
    <xf numFmtId="44" fontId="20" fillId="0" borderId="0" xfId="0" applyNumberFormat="1" applyFont="1" applyFill="1" applyBorder="1"/>
    <xf numFmtId="0" fontId="20" fillId="0" borderId="0" xfId="0" applyFont="1" applyFill="1" applyBorder="1"/>
    <xf numFmtId="166" fontId="3" fillId="0" borderId="0" xfId="1" applyNumberFormat="1" applyFont="1" applyFill="1" applyBorder="1" applyAlignment="1">
      <alignment horizontal="right"/>
    </xf>
    <xf numFmtId="43" fontId="22" fillId="0" borderId="0" xfId="0" applyNumberFormat="1" applyFont="1" applyFill="1" applyBorder="1"/>
    <xf numFmtId="43" fontId="20" fillId="0" borderId="0" xfId="1" applyFont="1" applyFill="1" applyBorder="1" applyAlignment="1">
      <alignment horizontal="right"/>
    </xf>
    <xf numFmtId="0" fontId="13" fillId="0" borderId="0" xfId="0" applyFont="1"/>
    <xf numFmtId="43" fontId="13" fillId="0" borderId="0" xfId="1" applyFont="1" applyFill="1" applyAlignment="1" applyProtection="1"/>
    <xf numFmtId="0" fontId="13" fillId="0" borderId="2" xfId="0" applyFont="1" applyBorder="1" applyAlignment="1">
      <alignment horizontal="centerContinuous"/>
    </xf>
    <xf numFmtId="0" fontId="13" fillId="0" borderId="3" xfId="0" applyFont="1" applyBorder="1" applyAlignment="1">
      <alignment horizontal="centerContinuous"/>
    </xf>
    <xf numFmtId="0" fontId="13" fillId="0" borderId="4" xfId="0" applyFont="1" applyBorder="1" applyAlignment="1">
      <alignment horizontal="centerContinuous"/>
    </xf>
    <xf numFmtId="0" fontId="3" fillId="0" borderId="0" xfId="0" applyFont="1" applyAlignment="1">
      <alignment horizontal="left"/>
    </xf>
    <xf numFmtId="0" fontId="25" fillId="4" borderId="0" xfId="0" applyFont="1" applyFill="1"/>
    <xf numFmtId="43" fontId="3" fillId="0" borderId="0" xfId="1" applyFont="1" applyFill="1" applyProtection="1"/>
    <xf numFmtId="166" fontId="12" fillId="0" borderId="0" xfId="1" applyNumberFormat="1" applyFont="1" applyFill="1" applyAlignment="1" applyProtection="1">
      <alignment horizontal="right"/>
    </xf>
    <xf numFmtId="168" fontId="3" fillId="0" borderId="0" xfId="0" applyNumberFormat="1" applyFont="1"/>
    <xf numFmtId="0" fontId="3" fillId="0" borderId="0" xfId="0" applyFont="1" applyAlignment="1">
      <alignment horizontal="center"/>
    </xf>
    <xf numFmtId="0" fontId="16" fillId="0" borderId="0" xfId="0" applyFont="1" applyAlignment="1">
      <alignment horizontal="left"/>
    </xf>
    <xf numFmtId="0" fontId="12" fillId="0" borderId="0" xfId="0" applyFont="1" applyAlignment="1">
      <alignment horizontal="center"/>
    </xf>
    <xf numFmtId="0" fontId="12" fillId="0" borderId="0" xfId="0" applyFont="1" applyAlignment="1">
      <alignment horizontal="center" wrapText="1"/>
    </xf>
    <xf numFmtId="0" fontId="12" fillId="0" borderId="0" xfId="0" applyFont="1" applyAlignment="1">
      <alignment horizontal="left"/>
    </xf>
    <xf numFmtId="49" fontId="8" fillId="0" borderId="0" xfId="0" applyNumberFormat="1" applyFont="1" applyAlignment="1">
      <alignment horizontal="right"/>
    </xf>
    <xf numFmtId="49" fontId="8" fillId="0" borderId="6" xfId="0" applyNumberFormat="1" applyFont="1" applyBorder="1" applyAlignment="1">
      <alignment horizontal="left"/>
    </xf>
    <xf numFmtId="167" fontId="8" fillId="0" borderId="6" xfId="0" applyNumberFormat="1" applyFont="1" applyBorder="1"/>
    <xf numFmtId="43" fontId="3" fillId="0" borderId="6" xfId="1" applyFont="1" applyFill="1" applyBorder="1" applyProtection="1"/>
    <xf numFmtId="43" fontId="3" fillId="0" borderId="6" xfId="0" applyNumberFormat="1" applyFont="1" applyBorder="1"/>
    <xf numFmtId="166" fontId="3" fillId="18" borderId="6" xfId="1" applyNumberFormat="1" applyFont="1" applyFill="1" applyBorder="1" applyProtection="1"/>
    <xf numFmtId="166" fontId="3" fillId="0" borderId="6" xfId="1" applyNumberFormat="1" applyFont="1" applyFill="1" applyBorder="1" applyProtection="1"/>
    <xf numFmtId="166" fontId="8" fillId="0" borderId="9" xfId="1" applyNumberFormat="1" applyFont="1" applyFill="1" applyBorder="1" applyAlignment="1" applyProtection="1">
      <alignment horizontal="left"/>
    </xf>
    <xf numFmtId="166" fontId="8" fillId="0" borderId="6" xfId="1" applyNumberFormat="1" applyFont="1" applyFill="1" applyBorder="1" applyAlignment="1" applyProtection="1">
      <alignment horizontal="left"/>
    </xf>
    <xf numFmtId="167" fontId="8" fillId="4" borderId="6" xfId="0" applyNumberFormat="1" applyFont="1" applyFill="1" applyBorder="1"/>
    <xf numFmtId="0" fontId="3" fillId="0" borderId="6" xfId="0" applyFont="1" applyBorder="1"/>
    <xf numFmtId="166" fontId="3" fillId="0" borderId="6" xfId="0" applyNumberFormat="1" applyFont="1" applyBorder="1"/>
    <xf numFmtId="0" fontId="3" fillId="9" borderId="6" xfId="0" applyFont="1" applyFill="1" applyBorder="1"/>
    <xf numFmtId="49" fontId="8" fillId="0" borderId="6" xfId="0" applyNumberFormat="1" applyFont="1" applyBorder="1"/>
    <xf numFmtId="43" fontId="3" fillId="26" borderId="6" xfId="1" applyFont="1" applyFill="1" applyBorder="1" applyProtection="1"/>
    <xf numFmtId="49" fontId="8" fillId="0" borderId="6" xfId="0" applyNumberFormat="1" applyFont="1" applyBorder="1" applyAlignment="1">
      <alignment wrapText="1"/>
    </xf>
    <xf numFmtId="43" fontId="26" fillId="0" borderId="6" xfId="0" applyNumberFormat="1" applyFont="1" applyBorder="1"/>
    <xf numFmtId="44" fontId="3" fillId="0" borderId="0" xfId="0" applyNumberFormat="1" applyFont="1"/>
    <xf numFmtId="49" fontId="22" fillId="0" borderId="6" xfId="0" applyNumberFormat="1" applyFont="1" applyBorder="1" applyAlignment="1">
      <alignment wrapText="1"/>
    </xf>
    <xf numFmtId="0" fontId="3" fillId="0" borderId="0" xfId="0" applyFont="1" applyAlignment="1">
      <alignment horizontal="right"/>
    </xf>
    <xf numFmtId="0" fontId="3" fillId="0" borderId="6" xfId="0" applyFont="1" applyBorder="1" applyAlignment="1">
      <alignment horizontal="left"/>
    </xf>
    <xf numFmtId="0" fontId="3" fillId="18" borderId="6" xfId="0" applyFont="1" applyFill="1" applyBorder="1"/>
    <xf numFmtId="0" fontId="12" fillId="19" borderId="6" xfId="0" applyFont="1" applyFill="1" applyBorder="1" applyAlignment="1">
      <alignment horizontal="left"/>
    </xf>
    <xf numFmtId="43" fontId="12" fillId="19" borderId="6" xfId="1" applyFont="1" applyFill="1" applyBorder="1" applyProtection="1"/>
    <xf numFmtId="43" fontId="3" fillId="0" borderId="0" xfId="0" applyNumberFormat="1" applyFont="1"/>
    <xf numFmtId="1" fontId="3" fillId="0" borderId="6" xfId="0" applyNumberFormat="1" applyFont="1" applyBorder="1" applyAlignment="1">
      <alignment horizontal="left"/>
    </xf>
    <xf numFmtId="1" fontId="3" fillId="0" borderId="6" xfId="0" quotePrefix="1" applyNumberFormat="1" applyFont="1" applyBorder="1" applyAlignment="1">
      <alignment horizontal="left"/>
    </xf>
    <xf numFmtId="0" fontId="3" fillId="27" borderId="6" xfId="0" applyFont="1" applyFill="1" applyBorder="1" applyAlignment="1">
      <alignment horizontal="left"/>
    </xf>
    <xf numFmtId="167" fontId="9" fillId="0" borderId="6" xfId="0" applyNumberFormat="1" applyFont="1" applyBorder="1"/>
    <xf numFmtId="167" fontId="22" fillId="0" borderId="6" xfId="0" applyNumberFormat="1" applyFont="1" applyBorder="1"/>
    <xf numFmtId="44" fontId="3" fillId="0" borderId="6" xfId="0" applyNumberFormat="1" applyFont="1" applyBorder="1"/>
    <xf numFmtId="43" fontId="8" fillId="0" borderId="6" xfId="1" applyFont="1" applyFill="1" applyBorder="1" applyAlignment="1" applyProtection="1">
      <alignment horizontal="left"/>
    </xf>
    <xf numFmtId="43" fontId="3" fillId="18" borderId="6" xfId="0" applyNumberFormat="1" applyFont="1" applyFill="1" applyBorder="1"/>
    <xf numFmtId="0" fontId="12" fillId="21" borderId="6" xfId="0" applyFont="1" applyFill="1" applyBorder="1" applyAlignment="1">
      <alignment horizontal="left"/>
    </xf>
    <xf numFmtId="43" fontId="12" fillId="21" borderId="6" xfId="1" applyFont="1" applyFill="1" applyBorder="1" applyProtection="1"/>
    <xf numFmtId="168" fontId="3" fillId="0" borderId="0" xfId="3" applyNumberFormat="1" applyFont="1" applyFill="1" applyProtection="1"/>
    <xf numFmtId="0" fontId="12" fillId="2" borderId="7" xfId="0" applyFont="1" applyFill="1" applyBorder="1" applyAlignment="1">
      <alignment horizontal="left"/>
    </xf>
    <xf numFmtId="43" fontId="12" fillId="2" borderId="7" xfId="1" applyFont="1" applyFill="1" applyBorder="1" applyProtection="1"/>
    <xf numFmtId="167" fontId="17" fillId="0" borderId="0" xfId="0" applyNumberFormat="1" applyFont="1"/>
    <xf numFmtId="0" fontId="7" fillId="0" borderId="0" xfId="0" applyFont="1"/>
    <xf numFmtId="168" fontId="7" fillId="0" borderId="0" xfId="3" applyNumberFormat="1" applyFont="1"/>
    <xf numFmtId="0" fontId="27" fillId="0" borderId="2" xfId="0" applyFont="1" applyBorder="1" applyAlignment="1">
      <alignment horizontal="centerContinuous"/>
    </xf>
    <xf numFmtId="0" fontId="7" fillId="0" borderId="3" xfId="0" applyFont="1" applyBorder="1" applyAlignment="1">
      <alignment horizontal="centerContinuous"/>
    </xf>
    <xf numFmtId="0" fontId="7" fillId="0" borderId="4" xfId="0" applyFont="1" applyBorder="1" applyAlignment="1">
      <alignment horizontal="centerContinuous"/>
    </xf>
    <xf numFmtId="0" fontId="28" fillId="0" borderId="0" xfId="0" applyFont="1"/>
    <xf numFmtId="0" fontId="27" fillId="0" borderId="0" xfId="0" applyFont="1" applyAlignment="1">
      <alignment horizontal="centerContinuous"/>
    </xf>
    <xf numFmtId="0" fontId="25" fillId="11" borderId="0" xfId="0" applyFont="1" applyFill="1" applyAlignment="1">
      <alignment horizontal="center"/>
    </xf>
    <xf numFmtId="0" fontId="28" fillId="0" borderId="0" xfId="0" applyFont="1" applyAlignment="1">
      <alignment horizontal="right"/>
    </xf>
    <xf numFmtId="0" fontId="28" fillId="0" borderId="0" xfId="0" applyFont="1" applyAlignment="1">
      <alignment horizontal="left"/>
    </xf>
    <xf numFmtId="168" fontId="28" fillId="0" borderId="0" xfId="3" applyNumberFormat="1" applyFont="1"/>
    <xf numFmtId="0" fontId="25" fillId="0" borderId="0" xfId="0" applyFont="1"/>
    <xf numFmtId="9" fontId="27" fillId="11" borderId="0" xfId="2" applyFont="1" applyFill="1" applyAlignment="1">
      <alignment horizontal="center"/>
    </xf>
    <xf numFmtId="0" fontId="28" fillId="0" borderId="0" xfId="0" applyFont="1" applyAlignment="1">
      <alignment horizontal="center"/>
    </xf>
    <xf numFmtId="0" fontId="29" fillId="0" borderId="6" xfId="0" applyFont="1" applyBorder="1" applyAlignment="1">
      <alignment horizontal="left"/>
    </xf>
    <xf numFmtId="0" fontId="7" fillId="0" borderId="6" xfId="0" applyFont="1" applyBorder="1" applyAlignment="1">
      <alignment horizontal="center"/>
    </xf>
    <xf numFmtId="168" fontId="7" fillId="0" borderId="6" xfId="3" applyNumberFormat="1" applyFont="1" applyFill="1" applyBorder="1" applyAlignment="1" applyProtection="1">
      <alignment horizontal="center"/>
    </xf>
    <xf numFmtId="0" fontId="27" fillId="0" borderId="6" xfId="0" applyFont="1" applyBorder="1" applyAlignment="1">
      <alignment horizontal="center"/>
    </xf>
    <xf numFmtId="0" fontId="7" fillId="0" borderId="6" xfId="0" applyFont="1" applyBorder="1" applyAlignment="1">
      <alignment horizontal="center" wrapText="1"/>
    </xf>
    <xf numFmtId="0" fontId="7" fillId="0" borderId="0" xfId="0" applyFont="1" applyAlignment="1">
      <alignment horizontal="center"/>
    </xf>
    <xf numFmtId="49" fontId="30" fillId="0" borderId="0" xfId="0" applyNumberFormat="1" applyFont="1" applyAlignment="1">
      <alignment horizontal="right"/>
    </xf>
    <xf numFmtId="49" fontId="30" fillId="0" borderId="6" xfId="0" applyNumberFormat="1" applyFont="1" applyBorder="1" applyAlignment="1">
      <alignment horizontal="left"/>
    </xf>
    <xf numFmtId="166" fontId="28" fillId="0" borderId="6" xfId="0" applyNumberFormat="1" applyFont="1" applyBorder="1"/>
    <xf numFmtId="168" fontId="28" fillId="0" borderId="6" xfId="3" applyNumberFormat="1" applyFont="1" applyBorder="1"/>
    <xf numFmtId="166" fontId="28" fillId="11" borderId="6" xfId="1" applyNumberFormat="1" applyFont="1" applyFill="1" applyBorder="1"/>
    <xf numFmtId="166" fontId="28" fillId="18" borderId="6" xfId="0" applyNumberFormat="1" applyFont="1" applyFill="1" applyBorder="1"/>
    <xf numFmtId="167" fontId="28" fillId="0" borderId="0" xfId="0" applyNumberFormat="1" applyFont="1" applyAlignment="1">
      <alignment wrapText="1"/>
    </xf>
    <xf numFmtId="43" fontId="31" fillId="0" borderId="6" xfId="0" applyNumberFormat="1" applyFont="1" applyBorder="1"/>
    <xf numFmtId="0" fontId="28" fillId="0" borderId="0" xfId="0" applyFont="1" applyAlignment="1">
      <alignment wrapText="1"/>
    </xf>
    <xf numFmtId="166" fontId="28" fillId="9" borderId="6" xfId="1" applyNumberFormat="1" applyFont="1" applyFill="1" applyBorder="1"/>
    <xf numFmtId="168" fontId="28" fillId="0" borderId="6" xfId="3" applyNumberFormat="1" applyFont="1" applyFill="1" applyBorder="1"/>
    <xf numFmtId="166" fontId="28" fillId="0" borderId="0" xfId="1" applyNumberFormat="1" applyFont="1"/>
    <xf numFmtId="43" fontId="32" fillId="0" borderId="6" xfId="0" applyNumberFormat="1" applyFont="1" applyBorder="1"/>
    <xf numFmtId="43" fontId="25" fillId="0" borderId="6" xfId="0" applyNumberFormat="1" applyFont="1" applyBorder="1"/>
    <xf numFmtId="166" fontId="28" fillId="0" borderId="0" xfId="0" applyNumberFormat="1" applyFont="1"/>
    <xf numFmtId="0" fontId="33" fillId="0" borderId="0" xfId="0" applyFont="1"/>
    <xf numFmtId="0" fontId="28" fillId="0" borderId="6" xfId="0" applyFont="1" applyBorder="1" applyAlignment="1">
      <alignment horizontal="left"/>
    </xf>
    <xf numFmtId="43" fontId="28" fillId="0" borderId="6" xfId="0" applyNumberFormat="1" applyFont="1" applyBorder="1"/>
    <xf numFmtId="0" fontId="25" fillId="0" borderId="6" xfId="0" applyFont="1" applyBorder="1"/>
    <xf numFmtId="168" fontId="28" fillId="0" borderId="0" xfId="0" applyNumberFormat="1" applyFont="1"/>
    <xf numFmtId="44" fontId="28" fillId="0" borderId="0" xfId="0" applyNumberFormat="1" applyFont="1"/>
    <xf numFmtId="168" fontId="34" fillId="0" borderId="6" xfId="3" applyNumberFormat="1" applyFont="1" applyFill="1" applyBorder="1"/>
    <xf numFmtId="0" fontId="26" fillId="27" borderId="6" xfId="0" applyFont="1" applyFill="1" applyBorder="1"/>
    <xf numFmtId="0" fontId="28" fillId="27" borderId="0" xfId="0" applyFont="1" applyFill="1" applyAlignment="1">
      <alignment horizontal="left"/>
    </xf>
    <xf numFmtId="0" fontId="28" fillId="27" borderId="0" xfId="0" applyFont="1" applyFill="1"/>
    <xf numFmtId="168" fontId="28" fillId="27" borderId="0" xfId="3" applyNumberFormat="1" applyFont="1" applyFill="1"/>
    <xf numFmtId="168" fontId="25" fillId="27" borderId="0" xfId="3" applyNumberFormat="1" applyFont="1" applyFill="1"/>
    <xf numFmtId="0" fontId="7" fillId="19" borderId="6" xfId="0" applyFont="1" applyFill="1" applyBorder="1" applyAlignment="1">
      <alignment horizontal="left"/>
    </xf>
    <xf numFmtId="168" fontId="7" fillId="19" borderId="6" xfId="3" applyNumberFormat="1" applyFont="1" applyFill="1" applyBorder="1" applyProtection="1"/>
    <xf numFmtId="0" fontId="27" fillId="19" borderId="6" xfId="0" applyFont="1" applyFill="1" applyBorder="1" applyAlignment="1">
      <alignment horizontal="left"/>
    </xf>
    <xf numFmtId="0" fontId="7" fillId="0" borderId="0" xfId="0" applyFont="1" applyAlignment="1">
      <alignment horizontal="left"/>
    </xf>
    <xf numFmtId="43" fontId="28" fillId="0" borderId="0" xfId="0" applyNumberFormat="1" applyFont="1"/>
    <xf numFmtId="43" fontId="25" fillId="0" borderId="0" xfId="0" applyNumberFormat="1" applyFont="1"/>
    <xf numFmtId="1" fontId="28" fillId="0" borderId="6" xfId="0" applyNumberFormat="1" applyFont="1" applyBorder="1" applyAlignment="1">
      <alignment horizontal="left"/>
    </xf>
    <xf numFmtId="168" fontId="28" fillId="0" borderId="6" xfId="3" applyNumberFormat="1" applyFont="1" applyFill="1" applyBorder="1" applyProtection="1"/>
    <xf numFmtId="44" fontId="25" fillId="0" borderId="6" xfId="0" applyNumberFormat="1" applyFont="1" applyBorder="1"/>
    <xf numFmtId="9" fontId="28" fillId="0" borderId="0" xfId="2" applyFont="1" applyFill="1" applyProtection="1"/>
    <xf numFmtId="1" fontId="28" fillId="0" borderId="6" xfId="0" quotePrefix="1" applyNumberFormat="1" applyFont="1" applyBorder="1" applyAlignment="1">
      <alignment horizontal="left"/>
    </xf>
    <xf numFmtId="0" fontId="31" fillId="0" borderId="6" xfId="0" applyFont="1" applyBorder="1"/>
    <xf numFmtId="1" fontId="30" fillId="0" borderId="6" xfId="1" applyNumberFormat="1" applyFont="1" applyFill="1" applyBorder="1" applyAlignment="1" applyProtection="1">
      <alignment horizontal="left"/>
    </xf>
    <xf numFmtId="0" fontId="28" fillId="0" borderId="0" xfId="0" quotePrefix="1" applyFont="1"/>
    <xf numFmtId="44" fontId="26" fillId="27" borderId="6" xfId="0" applyNumberFormat="1" applyFont="1" applyFill="1" applyBorder="1" applyAlignment="1">
      <alignment wrapText="1"/>
    </xf>
    <xf numFmtId="44" fontId="26" fillId="0" borderId="6" xfId="0" applyNumberFormat="1" applyFont="1" applyBorder="1"/>
    <xf numFmtId="44" fontId="26" fillId="27" borderId="6" xfId="0" applyNumberFormat="1" applyFont="1" applyFill="1" applyBorder="1"/>
    <xf numFmtId="1" fontId="30" fillId="0" borderId="6" xfId="2" applyNumberFormat="1" applyFont="1" applyFill="1" applyBorder="1" applyAlignment="1" applyProtection="1">
      <alignment horizontal="left"/>
    </xf>
    <xf numFmtId="44" fontId="36" fillId="0" borderId="6" xfId="0" applyNumberFormat="1" applyFont="1" applyBorder="1"/>
    <xf numFmtId="44" fontId="25" fillId="27" borderId="6" xfId="0" applyNumberFormat="1" applyFont="1" applyFill="1" applyBorder="1"/>
    <xf numFmtId="0" fontId="26" fillId="0" borderId="6" xfId="0" applyFont="1" applyBorder="1" applyAlignment="1">
      <alignment wrapText="1"/>
    </xf>
    <xf numFmtId="44" fontId="32" fillId="0" borderId="6" xfId="0" applyNumberFormat="1" applyFont="1" applyBorder="1"/>
    <xf numFmtId="44" fontId="37" fillId="0" borderId="6" xfId="0" applyNumberFormat="1" applyFont="1" applyBorder="1"/>
    <xf numFmtId="1" fontId="30" fillId="0" borderId="6" xfId="1" quotePrefix="1" applyNumberFormat="1" applyFont="1" applyFill="1" applyBorder="1" applyAlignment="1" applyProtection="1">
      <alignment horizontal="left"/>
    </xf>
    <xf numFmtId="0" fontId="28" fillId="26" borderId="0" xfId="0" applyFont="1" applyFill="1"/>
    <xf numFmtId="44" fontId="25" fillId="0" borderId="6" xfId="0" applyNumberFormat="1" applyFont="1" applyBorder="1" applyAlignment="1">
      <alignment wrapText="1"/>
    </xf>
    <xf numFmtId="167" fontId="17" fillId="27" borderId="0" xfId="0" applyNumberFormat="1" applyFont="1" applyFill="1"/>
    <xf numFmtId="0" fontId="28" fillId="0" borderId="6" xfId="0" applyFont="1" applyBorder="1"/>
    <xf numFmtId="0" fontId="7" fillId="21" borderId="6" xfId="0" applyFont="1" applyFill="1" applyBorder="1" applyAlignment="1">
      <alignment horizontal="left"/>
    </xf>
    <xf numFmtId="44" fontId="7" fillId="21" borderId="6" xfId="3" applyFont="1" applyFill="1" applyBorder="1" applyProtection="1"/>
    <xf numFmtId="168" fontId="7" fillId="21" borderId="6" xfId="3" applyNumberFormat="1" applyFont="1" applyFill="1" applyBorder="1" applyProtection="1"/>
    <xf numFmtId="168" fontId="27" fillId="21" borderId="6" xfId="3" applyNumberFormat="1" applyFont="1" applyFill="1" applyBorder="1"/>
    <xf numFmtId="168" fontId="7" fillId="21" borderId="6" xfId="3" applyNumberFormat="1" applyFont="1" applyFill="1" applyBorder="1"/>
    <xf numFmtId="168" fontId="25" fillId="0" borderId="0" xfId="3" applyNumberFormat="1" applyFont="1"/>
    <xf numFmtId="168" fontId="28" fillId="0" borderId="0" xfId="3" applyNumberFormat="1" applyFont="1" applyFill="1"/>
    <xf numFmtId="168" fontId="25" fillId="0" borderId="0" xfId="3" applyNumberFormat="1" applyFont="1" applyFill="1"/>
    <xf numFmtId="0" fontId="7" fillId="2" borderId="7" xfId="0" applyFont="1" applyFill="1" applyBorder="1" applyAlignment="1">
      <alignment horizontal="left"/>
    </xf>
    <xf numFmtId="44" fontId="7" fillId="2" borderId="7" xfId="3" applyFont="1" applyFill="1" applyBorder="1" applyProtection="1"/>
    <xf numFmtId="168" fontId="7" fillId="2" borderId="7" xfId="3" applyNumberFormat="1" applyFont="1" applyFill="1" applyBorder="1" applyProtection="1"/>
    <xf numFmtId="168" fontId="27" fillId="2" borderId="7" xfId="3" applyNumberFormat="1" applyFont="1" applyFill="1" applyBorder="1" applyProtection="1"/>
    <xf numFmtId="168" fontId="28" fillId="26" borderId="6" xfId="3" applyNumberFormat="1" applyFont="1" applyFill="1" applyBorder="1"/>
    <xf numFmtId="168" fontId="28" fillId="26" borderId="6" xfId="3" applyNumberFormat="1" applyFont="1" applyFill="1" applyBorder="1" applyProtection="1"/>
    <xf numFmtId="43" fontId="28" fillId="0" borderId="0" xfId="0" applyNumberFormat="1" applyFont="1" applyFill="1"/>
    <xf numFmtId="0" fontId="28" fillId="0" borderId="6" xfId="0" applyFont="1" applyFill="1" applyBorder="1" applyAlignment="1">
      <alignment horizontal="left"/>
    </xf>
    <xf numFmtId="43" fontId="28" fillId="0" borderId="0" xfId="1" applyFont="1" applyFill="1"/>
    <xf numFmtId="0" fontId="3" fillId="0" borderId="0" xfId="0" applyFont="1" applyBorder="1"/>
    <xf numFmtId="43" fontId="3" fillId="4" borderId="6" xfId="1" applyFont="1" applyFill="1" applyBorder="1" applyProtection="1"/>
    <xf numFmtId="43" fontId="3" fillId="2" borderId="6" xfId="1" applyFont="1" applyFill="1" applyBorder="1" applyProtection="1"/>
    <xf numFmtId="168" fontId="28" fillId="2" borderId="6" xfId="3" applyNumberFormat="1" applyFont="1" applyFill="1" applyBorder="1" applyProtection="1"/>
    <xf numFmtId="0" fontId="10" fillId="0" borderId="0" xfId="0" applyFont="1" applyFill="1" applyAlignment="1">
      <alignment horizontal="center" vertical="center"/>
    </xf>
    <xf numFmtId="0" fontId="10" fillId="0" borderId="0" xfId="0" applyFont="1" applyFill="1" applyAlignment="1">
      <alignment wrapText="1"/>
    </xf>
    <xf numFmtId="0" fontId="10" fillId="0" borderId="0" xfId="0" applyFont="1" applyFill="1"/>
    <xf numFmtId="43" fontId="10" fillId="0" borderId="0" xfId="1" applyFont="1" applyFill="1" applyAlignment="1">
      <alignment horizontal="right"/>
    </xf>
    <xf numFmtId="43" fontId="10" fillId="0" borderId="0" xfId="1" applyFont="1" applyFill="1" applyAlignment="1">
      <alignment horizontal="right" wrapText="1"/>
    </xf>
    <xf numFmtId="166" fontId="10" fillId="0" borderId="0" xfId="1" applyNumberFormat="1" applyFont="1" applyFill="1" applyAlignment="1">
      <alignment horizontal="right"/>
    </xf>
    <xf numFmtId="166" fontId="10" fillId="0" borderId="0" xfId="1" applyNumberFormat="1" applyFont="1" applyFill="1" applyAlignment="1">
      <alignment horizontal="right" wrapText="1"/>
    </xf>
    <xf numFmtId="166" fontId="10" fillId="0" borderId="6" xfId="1" applyNumberFormat="1" applyFont="1" applyFill="1" applyBorder="1" applyAlignment="1">
      <alignment horizontal="right"/>
    </xf>
    <xf numFmtId="166" fontId="10" fillId="0" borderId="6" xfId="1" applyNumberFormat="1" applyFont="1" applyFill="1" applyBorder="1" applyAlignment="1">
      <alignment horizontal="right" wrapText="1"/>
    </xf>
    <xf numFmtId="166" fontId="10" fillId="0" borderId="0" xfId="1" applyNumberFormat="1" applyFont="1" applyFill="1" applyBorder="1" applyAlignment="1">
      <alignment horizontal="right"/>
    </xf>
    <xf numFmtId="0" fontId="39" fillId="0" borderId="0" xfId="0" applyFont="1" applyFill="1" applyAlignment="1">
      <alignment wrapText="1"/>
    </xf>
    <xf numFmtId="166" fontId="39" fillId="0" borderId="0" xfId="1" applyNumberFormat="1" applyFont="1" applyFill="1" applyBorder="1" applyAlignment="1">
      <alignment horizontal="right"/>
    </xf>
    <xf numFmtId="166" fontId="39" fillId="0" borderId="1" xfId="1" applyNumberFormat="1" applyFont="1" applyFill="1" applyBorder="1" applyAlignment="1">
      <alignment horizontal="right"/>
    </xf>
    <xf numFmtId="9" fontId="10" fillId="0" borderId="0" xfId="2" applyFont="1" applyFill="1" applyAlignment="1">
      <alignment horizontal="right"/>
    </xf>
    <xf numFmtId="9" fontId="10" fillId="0" borderId="0" xfId="2" applyFont="1" applyFill="1" applyAlignment="1">
      <alignment horizontal="right" wrapText="1"/>
    </xf>
    <xf numFmtId="44" fontId="10" fillId="0" borderId="0" xfId="0" applyNumberFormat="1" applyFont="1" applyFill="1"/>
    <xf numFmtId="166" fontId="10" fillId="0" borderId="0" xfId="1" applyNumberFormat="1" applyFont="1" applyFill="1" applyBorder="1" applyAlignment="1">
      <alignment horizontal="right" wrapText="1"/>
    </xf>
    <xf numFmtId="0" fontId="41" fillId="0" borderId="0" xfId="0" applyFont="1" applyFill="1" applyBorder="1" applyAlignment="1">
      <alignment wrapText="1"/>
    </xf>
    <xf numFmtId="0" fontId="10" fillId="0" borderId="0" xfId="0" applyFont="1" applyFill="1" applyBorder="1" applyAlignment="1">
      <alignment horizontal="left" wrapText="1"/>
    </xf>
    <xf numFmtId="0" fontId="10" fillId="0" borderId="0" xfId="0" applyFont="1" applyFill="1" applyAlignment="1">
      <alignment horizontal="left" vertical="center" wrapText="1"/>
    </xf>
    <xf numFmtId="43" fontId="39" fillId="0" borderId="4" xfId="1" applyFont="1" applyFill="1" applyBorder="1" applyAlignment="1">
      <alignment horizontal="left" wrapText="1"/>
    </xf>
    <xf numFmtId="0" fontId="10" fillId="0" borderId="0" xfId="0" applyFont="1" applyFill="1" applyAlignment="1">
      <alignment horizontal="left" wrapText="1"/>
    </xf>
    <xf numFmtId="0" fontId="10" fillId="0" borderId="6" xfId="0" applyFont="1" applyFill="1" applyBorder="1" applyAlignment="1">
      <alignment horizontal="left" wrapText="1"/>
    </xf>
    <xf numFmtId="43" fontId="10" fillId="0" borderId="0" xfId="0" applyNumberFormat="1" applyFont="1" applyFill="1" applyAlignment="1">
      <alignment horizontal="left" wrapText="1"/>
    </xf>
    <xf numFmtId="166" fontId="10" fillId="0" borderId="0" xfId="0" applyNumberFormat="1" applyFont="1" applyBorder="1" applyAlignment="1">
      <alignment horizontal="left" wrapText="1"/>
    </xf>
    <xf numFmtId="43" fontId="40" fillId="0" borderId="0" xfId="1" applyFont="1" applyFill="1" applyBorder="1" applyAlignment="1">
      <alignment horizontal="left" wrapText="1"/>
    </xf>
    <xf numFmtId="0" fontId="40" fillId="0" borderId="0" xfId="0" applyFont="1" applyFill="1" applyBorder="1" applyAlignment="1">
      <alignment horizontal="left" wrapText="1"/>
    </xf>
    <xf numFmtId="0" fontId="40" fillId="0" borderId="0" xfId="0" applyFont="1" applyFill="1" applyAlignment="1">
      <alignment horizontal="left" wrapText="1"/>
    </xf>
    <xf numFmtId="0" fontId="10" fillId="0" borderId="6" xfId="0" applyFont="1" applyFill="1" applyBorder="1" applyAlignment="1">
      <alignment wrapText="1"/>
    </xf>
    <xf numFmtId="43" fontId="10" fillId="0" borderId="0" xfId="1" applyFont="1" applyAlignment="1">
      <alignment horizontal="center" vertical="center"/>
    </xf>
    <xf numFmtId="0" fontId="10" fillId="0" borderId="0" xfId="0" applyFont="1" applyAlignment="1">
      <alignment horizontal="center" vertical="center"/>
    </xf>
    <xf numFmtId="0" fontId="0" fillId="0" borderId="0" xfId="0" applyFont="1"/>
    <xf numFmtId="0" fontId="10" fillId="0" borderId="0" xfId="0" applyFont="1"/>
    <xf numFmtId="0" fontId="10" fillId="0" borderId="0" xfId="0" applyFont="1" applyAlignment="1">
      <alignment horizontal="right"/>
    </xf>
    <xf numFmtId="0" fontId="10" fillId="0" borderId="0" xfId="0" applyFont="1" applyAlignment="1"/>
    <xf numFmtId="43" fontId="10" fillId="0" borderId="0" xfId="0" applyNumberFormat="1" applyFont="1" applyAlignment="1">
      <alignment horizontal="right"/>
    </xf>
    <xf numFmtId="43" fontId="10" fillId="0" borderId="0" xfId="1" applyFont="1" applyFill="1" applyBorder="1" applyAlignment="1">
      <alignment horizontal="right"/>
    </xf>
    <xf numFmtId="0" fontId="39" fillId="0" borderId="0" xfId="0" applyFont="1" applyAlignment="1"/>
    <xf numFmtId="0" fontId="39" fillId="0" borderId="0" xfId="0" applyFont="1"/>
    <xf numFmtId="43" fontId="39" fillId="0" borderId="10" xfId="0" applyNumberFormat="1" applyFont="1" applyBorder="1" applyAlignment="1">
      <alignment horizontal="right"/>
    </xf>
    <xf numFmtId="43" fontId="39" fillId="0" borderId="10" xfId="1" applyFont="1" applyFill="1" applyBorder="1" applyAlignment="1">
      <alignment horizontal="right"/>
    </xf>
    <xf numFmtId="43" fontId="39" fillId="0" borderId="0" xfId="1" applyFont="1" applyFill="1" applyBorder="1" applyAlignment="1">
      <alignment horizontal="right"/>
    </xf>
    <xf numFmtId="0" fontId="10" fillId="0" borderId="0" xfId="0" applyFont="1" applyBorder="1"/>
    <xf numFmtId="43" fontId="10" fillId="0" borderId="0" xfId="1" applyFont="1" applyFill="1" applyBorder="1" applyProtection="1"/>
    <xf numFmtId="43" fontId="39" fillId="0" borderId="1" xfId="1" applyFont="1" applyFill="1" applyBorder="1" applyAlignment="1">
      <alignment horizontal="right"/>
    </xf>
    <xf numFmtId="0" fontId="10" fillId="0" borderId="0" xfId="0" applyFont="1" applyFill="1" applyBorder="1"/>
    <xf numFmtId="0" fontId="39" fillId="0" borderId="0" xfId="0" applyFont="1" applyAlignment="1">
      <alignment horizontal="right"/>
    </xf>
    <xf numFmtId="0" fontId="10" fillId="0" borderId="0" xfId="0" applyFont="1" applyAlignment="1">
      <alignment horizontal="center" vertical="center" wrapText="1"/>
    </xf>
    <xf numFmtId="0" fontId="10" fillId="0" borderId="0" xfId="0" applyFont="1" applyAlignment="1">
      <alignment horizontal="right" vertical="center" wrapText="1"/>
    </xf>
    <xf numFmtId="43" fontId="10" fillId="0" borderId="0" xfId="1" applyFont="1" applyFill="1" applyAlignment="1">
      <alignment horizontal="right" vertical="center" wrapText="1"/>
    </xf>
    <xf numFmtId="43" fontId="10" fillId="0" borderId="0" xfId="0" applyNumberFormat="1" applyFont="1"/>
    <xf numFmtId="43" fontId="10" fillId="0" borderId="0" xfId="0" applyNumberFormat="1" applyFont="1" applyBorder="1"/>
    <xf numFmtId="0" fontId="41" fillId="0" borderId="0" xfId="0" applyFont="1" applyBorder="1" applyAlignment="1"/>
    <xf numFmtId="0" fontId="10" fillId="0" borderId="6" xfId="0" applyFont="1" applyBorder="1" applyAlignment="1"/>
    <xf numFmtId="0" fontId="10" fillId="0" borderId="6" xfId="0" applyFont="1" applyBorder="1"/>
    <xf numFmtId="43" fontId="10" fillId="0" borderId="6" xfId="0" applyNumberFormat="1" applyFont="1" applyBorder="1" applyAlignment="1">
      <alignment horizontal="right"/>
    </xf>
    <xf numFmtId="43" fontId="10" fillId="0" borderId="6" xfId="1" applyFont="1" applyFill="1" applyBorder="1" applyAlignment="1">
      <alignment horizontal="right"/>
    </xf>
    <xf numFmtId="43" fontId="39" fillId="0" borderId="0" xfId="0" applyNumberFormat="1" applyFont="1" applyBorder="1" applyAlignment="1">
      <alignment horizontal="right"/>
    </xf>
    <xf numFmtId="0" fontId="10" fillId="0" borderId="6" xfId="0" applyFont="1" applyFill="1" applyBorder="1" applyAlignment="1"/>
    <xf numFmtId="43" fontId="10" fillId="0" borderId="6" xfId="0" applyNumberFormat="1" applyFont="1" applyFill="1" applyBorder="1" applyAlignment="1">
      <alignment horizontal="right"/>
    </xf>
    <xf numFmtId="43" fontId="10" fillId="0" borderId="6" xfId="1" applyFont="1" applyFill="1" applyBorder="1" applyProtection="1"/>
    <xf numFmtId="0" fontId="39" fillId="0" borderId="0" xfId="0" applyFont="1" applyAlignment="1">
      <alignment horizontal="left"/>
    </xf>
    <xf numFmtId="43" fontId="39" fillId="0" borderId="0" xfId="1" applyFont="1" applyFill="1" applyProtection="1"/>
    <xf numFmtId="43" fontId="39" fillId="0" borderId="1" xfId="0" applyNumberFormat="1" applyFont="1" applyBorder="1" applyAlignment="1">
      <alignment horizontal="right"/>
    </xf>
    <xf numFmtId="43" fontId="10" fillId="0" borderId="0" xfId="1" applyFont="1" applyFill="1" applyBorder="1" applyAlignment="1">
      <alignment horizontal="left" wrapText="1"/>
    </xf>
    <xf numFmtId="0" fontId="0" fillId="0" borderId="0" xfId="0" applyFont="1" applyAlignment="1">
      <alignment horizontal="center" wrapText="1"/>
    </xf>
    <xf numFmtId="0" fontId="18" fillId="0" borderId="5" xfId="0" applyFont="1" applyBorder="1" applyAlignment="1">
      <alignment horizontal="left" wrapText="1"/>
    </xf>
    <xf numFmtId="0" fontId="0" fillId="0" borderId="0" xfId="0" applyFont="1" applyAlignment="1">
      <alignment wrapText="1"/>
    </xf>
    <xf numFmtId="49" fontId="42" fillId="0" borderId="0" xfId="0" applyNumberFormat="1" applyFont="1" applyAlignment="1">
      <alignment horizontal="left" wrapText="1"/>
    </xf>
    <xf numFmtId="49" fontId="43" fillId="0" borderId="0" xfId="0" applyNumberFormat="1" applyFont="1" applyAlignment="1">
      <alignment horizontal="left" wrapText="1"/>
    </xf>
    <xf numFmtId="0" fontId="18" fillId="0" borderId="5" xfId="0" applyFont="1" applyBorder="1" applyAlignment="1">
      <alignment wrapText="1"/>
    </xf>
    <xf numFmtId="0" fontId="0" fillId="28" borderId="0" xfId="0" applyFont="1" applyFill="1" applyAlignment="1">
      <alignment wrapText="1"/>
    </xf>
    <xf numFmtId="0" fontId="0" fillId="27" borderId="0" xfId="0" applyFont="1" applyFill="1" applyAlignment="1">
      <alignment wrapText="1"/>
    </xf>
    <xf numFmtId="0" fontId="0" fillId="27" borderId="0" xfId="0" applyFont="1" applyFill="1"/>
    <xf numFmtId="0" fontId="18" fillId="27" borderId="0" xfId="0" applyFont="1" applyFill="1" applyAlignment="1">
      <alignment wrapText="1"/>
    </xf>
    <xf numFmtId="0" fontId="44" fillId="0" borderId="0" xfId="0" applyFont="1" applyAlignment="1">
      <alignment horizontal="center" wrapText="1"/>
    </xf>
    <xf numFmtId="43" fontId="10" fillId="0" borderId="4" xfId="1" applyFont="1" applyFill="1" applyBorder="1" applyAlignment="1">
      <alignment horizontal="left" wrapText="1"/>
    </xf>
    <xf numFmtId="43" fontId="10" fillId="0" borderId="2" xfId="1" applyFont="1" applyFill="1" applyBorder="1" applyAlignment="1">
      <alignment horizontal="center"/>
    </xf>
    <xf numFmtId="43" fontId="10" fillId="0" borderId="3" xfId="1" applyFont="1" applyFill="1" applyBorder="1" applyAlignment="1">
      <alignment horizontal="center"/>
    </xf>
    <xf numFmtId="43" fontId="10" fillId="0" borderId="3" xfId="1" applyFont="1" applyFill="1" applyBorder="1" applyAlignment="1">
      <alignment horizontal="center" wrapText="1"/>
    </xf>
    <xf numFmtId="43" fontId="10" fillId="0" borderId="4" xfId="1" applyFont="1" applyFill="1" applyBorder="1" applyAlignment="1">
      <alignment horizontal="center"/>
    </xf>
    <xf numFmtId="43" fontId="10" fillId="0" borderId="4" xfId="1" applyFont="1" applyFill="1" applyBorder="1" applyAlignment="1">
      <alignment horizontal="center" wrapText="1"/>
    </xf>
    <xf numFmtId="0" fontId="10" fillId="0" borderId="0" xfId="0" applyFont="1" applyAlignment="1">
      <alignment horizontal="center"/>
    </xf>
    <xf numFmtId="43" fontId="10" fillId="0" borderId="0" xfId="1" applyFont="1" applyFill="1" applyAlignment="1">
      <alignment horizontal="center" wrapText="1"/>
    </xf>
    <xf numFmtId="43" fontId="10" fillId="0" borderId="0" xfId="1" applyFont="1" applyFill="1" applyAlignment="1">
      <alignment horizontal="center"/>
    </xf>
    <xf numFmtId="0" fontId="2" fillId="0" borderId="0" xfId="0" applyFont="1" applyAlignment="1">
      <alignment horizontal="center" vertical="center" wrapText="1"/>
    </xf>
    <xf numFmtId="0" fontId="0" fillId="0" borderId="0" xfId="0" applyFont="1" applyFill="1" applyAlignment="1">
      <alignment horizontal="center" vertical="center" wrapText="1"/>
    </xf>
    <xf numFmtId="0" fontId="18" fillId="0" borderId="0" xfId="0" applyFont="1" applyAlignment="1">
      <alignment horizontal="center" vertical="center" wrapText="1"/>
    </xf>
    <xf numFmtId="0" fontId="2" fillId="0" borderId="0" xfId="0" applyFont="1" applyFill="1" applyAlignment="1">
      <alignment horizontal="center" vertical="center" wrapText="1"/>
    </xf>
    <xf numFmtId="0" fontId="7" fillId="0" borderId="0" xfId="0" applyFont="1" applyFill="1" applyBorder="1" applyAlignment="1">
      <alignment horizontal="center"/>
    </xf>
    <xf numFmtId="0" fontId="46" fillId="0" borderId="0" xfId="0" applyFont="1" applyAlignment="1">
      <alignment horizontal="left" vertical="center" wrapText="1" indent="5"/>
    </xf>
    <xf numFmtId="0" fontId="10" fillId="0" borderId="0" xfId="0" applyFont="1" applyFill="1" applyAlignment="1">
      <alignment horizontal="left" wrapText="1"/>
    </xf>
  </cellXfs>
  <cellStyles count="4">
    <cellStyle name="Comma" xfId="1" builtinId="3"/>
    <cellStyle name="Currency" xfId="3" builtinId="4"/>
    <cellStyle name="Normal" xfId="0" builtinId="0"/>
    <cellStyle name="Percent" xfId="2" builtinId="5"/>
  </cellStyles>
  <dxfs count="9">
    <dxf>
      <font>
        <color theme="0"/>
      </font>
    </dxf>
    <dxf>
      <font>
        <color theme="0"/>
      </font>
    </dxf>
    <dxf>
      <font>
        <color theme="0"/>
      </font>
    </dxf>
    <dxf>
      <font>
        <b/>
        <i val="0"/>
        <color auto="1"/>
      </font>
      <fill>
        <patternFill>
          <bgColor theme="9" tint="0.39994506668294322"/>
        </patternFill>
      </fill>
    </dxf>
    <dxf>
      <font>
        <b/>
        <i val="0"/>
        <color auto="1"/>
      </font>
      <fill>
        <patternFill>
          <bgColor theme="7" tint="0.39994506668294322"/>
        </patternFill>
      </fill>
    </dxf>
    <dxf>
      <font>
        <b/>
        <i val="0"/>
        <color auto="1"/>
      </font>
      <fill>
        <patternFill>
          <bgColor theme="9" tint="0.39994506668294322"/>
        </patternFill>
      </fill>
    </dxf>
    <dxf>
      <font>
        <b/>
        <i val="0"/>
        <color auto="1"/>
      </font>
      <fill>
        <patternFill>
          <bgColor theme="7" tint="0.39994506668294322"/>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Y21%20Preliminary%20-%20Budget%20FC%205-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Docs/Finance%20and%20Administration/Finance/Budgets/2020%20Budget/Working%20Copies/2020%20FY%20Budget%20(WC%205.30.19)-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haredDocs/Finance%20and%20Administration/Finance/Budgets/2021%20Budget/FY21%20Budget%20(Combined%20Overview-Mast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haredDocs/Finance%20and%20Administration/Finance/Budgets/2021%20Budget/FY21%20Budget-(Master)%20-%20S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aredDocs/Finance%20and%20Administration/Finance/Budgets/2020%20Budget/Final/FY20%20Budget%20-%20FC%204.15.19-Final%20(5.3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1 Highlights"/>
      <sheetName val="6-Hm FY21 Budget Variance (P&amp;L)"/>
      <sheetName val="6-Hm Cash Budget-FY21"/>
      <sheetName val="6-Hm Budget Total-FY21 (P&amp;L)"/>
      <sheetName val="Combined Summary-Proof"/>
      <sheetName val="Development"/>
      <sheetName val="Faith Relations"/>
      <sheetName val="Mgmt"/>
      <sheetName val="ReStore"/>
      <sheetName val="ReStore 2"/>
      <sheetName val="Construction"/>
      <sheetName val="Construction GIK"/>
      <sheetName val="Construction CIP"/>
      <sheetName val="Various 5102 Calculation"/>
      <sheetName val="Repair-New"/>
      <sheetName val="Volunteer"/>
      <sheetName val="Family Selection"/>
      <sheetName val="HO Services"/>
      <sheetName val="HO Support"/>
      <sheetName val="9-Home Variables-Link Source"/>
      <sheetName val="9-Hm Cash Budget-FY21"/>
      <sheetName val="9-Hm Budget Total-FY21 (P&amp;L)"/>
      <sheetName val="Sheet1"/>
      <sheetName val="FY21 Highlights (SC)"/>
      <sheetName val="April P&amp;L"/>
      <sheetName val="March P&amp;L"/>
    </sheetNames>
    <sheetDataSet>
      <sheetData sheetId="0"/>
      <sheetData sheetId="1"/>
      <sheetData sheetId="2">
        <row r="4">
          <cell r="V4">
            <v>228237.04</v>
          </cell>
        </row>
        <row r="5">
          <cell r="V5">
            <v>99637.92</v>
          </cell>
        </row>
        <row r="6">
          <cell r="V6">
            <v>19059.5</v>
          </cell>
        </row>
        <row r="7">
          <cell r="V7">
            <v>15089</v>
          </cell>
        </row>
        <row r="8">
          <cell r="V8">
            <v>449407.94</v>
          </cell>
        </row>
        <row r="9">
          <cell r="V9">
            <v>978</v>
          </cell>
        </row>
        <row r="10">
          <cell r="V10">
            <v>-1000</v>
          </cell>
        </row>
        <row r="11">
          <cell r="V11">
            <v>33500</v>
          </cell>
        </row>
        <row r="12">
          <cell r="V12">
            <v>20500</v>
          </cell>
        </row>
        <row r="13">
          <cell r="U13">
            <v>6000</v>
          </cell>
          <cell r="V13">
            <v>2000</v>
          </cell>
        </row>
        <row r="14">
          <cell r="U14">
            <v>1307662.23</v>
          </cell>
        </row>
        <row r="15">
          <cell r="U15">
            <v>-34.869999999999997</v>
          </cell>
        </row>
        <row r="16">
          <cell r="U16">
            <v>120454.06</v>
          </cell>
        </row>
        <row r="17">
          <cell r="U17">
            <v>42105</v>
          </cell>
        </row>
        <row r="18">
          <cell r="U18">
            <v>17727.509999999998</v>
          </cell>
        </row>
        <row r="19">
          <cell r="U19">
            <v>17721.2</v>
          </cell>
        </row>
        <row r="20">
          <cell r="V20">
            <v>975</v>
          </cell>
        </row>
        <row r="21">
          <cell r="V21">
            <v>987.09</v>
          </cell>
        </row>
        <row r="22">
          <cell r="V22">
            <v>42436.15</v>
          </cell>
        </row>
        <row r="23">
          <cell r="V23">
            <v>15726.02</v>
          </cell>
        </row>
        <row r="24">
          <cell r="V24">
            <v>122512.47</v>
          </cell>
        </row>
        <row r="25">
          <cell r="V25">
            <v>587587</v>
          </cell>
        </row>
        <row r="26">
          <cell r="V26">
            <v>260534.44999999998</v>
          </cell>
        </row>
      </sheetData>
      <sheetData sheetId="3">
        <row r="5">
          <cell r="V5">
            <v>228237.04</v>
          </cell>
        </row>
        <row r="6">
          <cell r="V6">
            <v>139637.91999999998</v>
          </cell>
        </row>
        <row r="7">
          <cell r="V7">
            <v>19059.5</v>
          </cell>
        </row>
        <row r="8">
          <cell r="V8">
            <v>15089</v>
          </cell>
        </row>
        <row r="9">
          <cell r="V9">
            <v>449407.94</v>
          </cell>
        </row>
        <row r="10">
          <cell r="V10">
            <v>978</v>
          </cell>
        </row>
        <row r="11">
          <cell r="V11">
            <v>-1000</v>
          </cell>
        </row>
        <row r="12">
          <cell r="V12">
            <v>33500</v>
          </cell>
        </row>
        <row r="13">
          <cell r="V13">
            <v>20500</v>
          </cell>
        </row>
        <row r="14">
          <cell r="V14">
            <v>153.38</v>
          </cell>
        </row>
        <row r="15">
          <cell r="V15">
            <v>25705.78</v>
          </cell>
        </row>
        <row r="16">
          <cell r="V16">
            <v>44326.400000000001</v>
          </cell>
        </row>
        <row r="17">
          <cell r="V17">
            <v>89488.39</v>
          </cell>
        </row>
        <row r="18">
          <cell r="V18">
            <v>83857.17</v>
          </cell>
        </row>
        <row r="19">
          <cell r="V19">
            <v>1113976</v>
          </cell>
        </row>
        <row r="27">
          <cell r="V27">
            <v>228641.05</v>
          </cell>
        </row>
        <row r="29">
          <cell r="V29">
            <v>15846.94</v>
          </cell>
        </row>
        <row r="31">
          <cell r="V31">
            <v>975</v>
          </cell>
        </row>
        <row r="32">
          <cell r="V32">
            <v>987.09</v>
          </cell>
        </row>
        <row r="33">
          <cell r="V33">
            <v>42436.15</v>
          </cell>
        </row>
        <row r="34">
          <cell r="V34">
            <v>15726.02</v>
          </cell>
        </row>
        <row r="35">
          <cell r="V35">
            <v>233306.07</v>
          </cell>
        </row>
        <row r="37">
          <cell r="V37">
            <v>122512.47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D Quarterly"/>
      <sheetName val="Combined Overview"/>
      <sheetName val="Combined Summary-Proof"/>
      <sheetName val="ReStore"/>
      <sheetName val="Development"/>
      <sheetName val="Construction"/>
      <sheetName val="Construction GIK &amp; CIP"/>
      <sheetName val="Mgmt"/>
      <sheetName val="Family Selection"/>
      <sheetName val="HO Support"/>
      <sheetName val="HO Services"/>
      <sheetName val="Repair1"/>
      <sheetName val="Volunteer"/>
    </sheetNames>
    <sheetDataSet>
      <sheetData sheetId="0" refreshError="1"/>
      <sheetData sheetId="1" refreshError="1">
        <row r="9">
          <cell r="I9">
            <v>10750</v>
          </cell>
          <cell r="J9">
            <v>10250</v>
          </cell>
          <cell r="K9">
            <v>21250</v>
          </cell>
          <cell r="L9">
            <v>12750</v>
          </cell>
          <cell r="M9">
            <v>27250</v>
          </cell>
          <cell r="N9">
            <v>62250</v>
          </cell>
          <cell r="O9">
            <v>22250</v>
          </cell>
          <cell r="P9">
            <v>21250</v>
          </cell>
          <cell r="Q9">
            <v>11250</v>
          </cell>
          <cell r="R9">
            <v>9250</v>
          </cell>
          <cell r="S9">
            <v>8250</v>
          </cell>
          <cell r="T9">
            <v>8250</v>
          </cell>
          <cell r="Y9">
            <v>194773.61</v>
          </cell>
          <cell r="Z9">
            <v>206000</v>
          </cell>
        </row>
        <row r="10">
          <cell r="I10">
            <v>10500</v>
          </cell>
          <cell r="J10">
            <v>500</v>
          </cell>
          <cell r="K10">
            <v>45500</v>
          </cell>
          <cell r="L10">
            <v>500</v>
          </cell>
          <cell r="M10">
            <v>500</v>
          </cell>
          <cell r="N10">
            <v>52500</v>
          </cell>
          <cell r="O10">
            <v>500</v>
          </cell>
          <cell r="P10">
            <v>500</v>
          </cell>
          <cell r="Q10">
            <v>45500</v>
          </cell>
          <cell r="R10">
            <v>500</v>
          </cell>
          <cell r="S10">
            <v>500</v>
          </cell>
          <cell r="T10">
            <v>120500</v>
          </cell>
          <cell r="Y10">
            <v>80015.490000000005</v>
          </cell>
          <cell r="Z10">
            <v>175000</v>
          </cell>
        </row>
        <row r="11">
          <cell r="I11">
            <v>1750</v>
          </cell>
          <cell r="J11">
            <v>250</v>
          </cell>
          <cell r="K11">
            <v>250</v>
          </cell>
          <cell r="L11">
            <v>1750</v>
          </cell>
          <cell r="M11">
            <v>250</v>
          </cell>
          <cell r="N11">
            <v>250</v>
          </cell>
          <cell r="O11">
            <v>1750</v>
          </cell>
          <cell r="P11">
            <v>250</v>
          </cell>
          <cell r="Q11">
            <v>250</v>
          </cell>
          <cell r="R11">
            <v>1750</v>
          </cell>
          <cell r="S11">
            <v>250</v>
          </cell>
          <cell r="T11">
            <v>15250</v>
          </cell>
          <cell r="Y11">
            <v>11959.33</v>
          </cell>
          <cell r="Z11">
            <v>41000</v>
          </cell>
        </row>
        <row r="12">
          <cell r="I12">
            <v>1250</v>
          </cell>
          <cell r="J12">
            <v>1250</v>
          </cell>
          <cell r="K12">
            <v>1250</v>
          </cell>
          <cell r="L12">
            <v>1250</v>
          </cell>
          <cell r="M12">
            <v>1250</v>
          </cell>
          <cell r="N12">
            <v>1250</v>
          </cell>
          <cell r="O12">
            <v>1250</v>
          </cell>
          <cell r="P12">
            <v>1250</v>
          </cell>
          <cell r="Q12">
            <v>1250</v>
          </cell>
          <cell r="R12">
            <v>1250</v>
          </cell>
          <cell r="S12">
            <v>1250</v>
          </cell>
          <cell r="T12">
            <v>1250</v>
          </cell>
          <cell r="Y12">
            <v>11615.05</v>
          </cell>
          <cell r="Z12">
            <v>12000</v>
          </cell>
        </row>
        <row r="15">
          <cell r="I15">
            <v>306000</v>
          </cell>
          <cell r="J15">
            <v>0</v>
          </cell>
          <cell r="K15">
            <v>0</v>
          </cell>
          <cell r="L15">
            <v>0</v>
          </cell>
          <cell r="M15">
            <v>0</v>
          </cell>
          <cell r="N15">
            <v>0</v>
          </cell>
          <cell r="O15">
            <v>0</v>
          </cell>
          <cell r="P15">
            <v>0</v>
          </cell>
          <cell r="Q15">
            <v>0</v>
          </cell>
          <cell r="R15">
            <v>0</v>
          </cell>
          <cell r="S15">
            <v>0</v>
          </cell>
          <cell r="T15">
            <v>0</v>
          </cell>
          <cell r="Y15">
            <v>13092.04</v>
          </cell>
          <cell r="Z15">
            <v>300000</v>
          </cell>
        </row>
        <row r="16">
          <cell r="I16">
            <v>5000</v>
          </cell>
          <cell r="J16">
            <v>0</v>
          </cell>
          <cell r="K16">
            <v>5000</v>
          </cell>
          <cell r="L16">
            <v>0</v>
          </cell>
          <cell r="M16">
            <v>0</v>
          </cell>
          <cell r="N16">
            <v>105000</v>
          </cell>
          <cell r="O16">
            <v>0</v>
          </cell>
          <cell r="P16">
            <v>0</v>
          </cell>
          <cell r="Q16">
            <v>0</v>
          </cell>
          <cell r="R16">
            <v>0</v>
          </cell>
          <cell r="S16">
            <v>0</v>
          </cell>
          <cell r="T16">
            <v>0</v>
          </cell>
          <cell r="Z16">
            <v>26500</v>
          </cell>
        </row>
        <row r="17">
          <cell r="I17">
            <v>-500</v>
          </cell>
          <cell r="J17">
            <v>0</v>
          </cell>
          <cell r="K17">
            <v>0</v>
          </cell>
          <cell r="L17">
            <v>0</v>
          </cell>
          <cell r="M17">
            <v>0</v>
          </cell>
          <cell r="N17">
            <v>0</v>
          </cell>
          <cell r="O17">
            <v>0</v>
          </cell>
          <cell r="P17">
            <v>0</v>
          </cell>
          <cell r="Q17">
            <v>0</v>
          </cell>
          <cell r="R17">
            <v>0</v>
          </cell>
          <cell r="S17">
            <v>0</v>
          </cell>
          <cell r="T17">
            <v>0</v>
          </cell>
          <cell r="Y17">
            <v>-1650</v>
          </cell>
          <cell r="Z17">
            <v>-2000</v>
          </cell>
        </row>
        <row r="20">
          <cell r="I20">
            <v>0</v>
          </cell>
          <cell r="J20">
            <v>0</v>
          </cell>
          <cell r="K20">
            <v>5000</v>
          </cell>
          <cell r="L20">
            <v>0</v>
          </cell>
          <cell r="M20">
            <v>0</v>
          </cell>
          <cell r="N20">
            <v>5000</v>
          </cell>
          <cell r="O20">
            <v>0</v>
          </cell>
          <cell r="P20">
            <v>0</v>
          </cell>
          <cell r="Q20">
            <v>0</v>
          </cell>
          <cell r="R20">
            <v>15000</v>
          </cell>
          <cell r="S20">
            <v>0</v>
          </cell>
          <cell r="T20">
            <v>0</v>
          </cell>
          <cell r="Y20">
            <v>5000</v>
          </cell>
          <cell r="Z20">
            <v>76500</v>
          </cell>
        </row>
        <row r="21">
          <cell r="I21">
            <v>0</v>
          </cell>
          <cell r="J21">
            <v>0</v>
          </cell>
          <cell r="K21">
            <v>15000</v>
          </cell>
          <cell r="L21">
            <v>15000</v>
          </cell>
          <cell r="M21">
            <v>0</v>
          </cell>
          <cell r="N21">
            <v>0</v>
          </cell>
          <cell r="O21">
            <v>5000</v>
          </cell>
          <cell r="P21">
            <v>0</v>
          </cell>
          <cell r="Q21">
            <v>0</v>
          </cell>
          <cell r="R21">
            <v>0</v>
          </cell>
          <cell r="S21">
            <v>0</v>
          </cell>
          <cell r="T21">
            <v>20000</v>
          </cell>
          <cell r="Y21">
            <v>10000</v>
          </cell>
          <cell r="Z21">
            <v>30000</v>
          </cell>
        </row>
        <row r="25">
          <cell r="I25">
            <v>0</v>
          </cell>
          <cell r="J25">
            <v>0</v>
          </cell>
          <cell r="K25">
            <v>500</v>
          </cell>
          <cell r="L25">
            <v>1000</v>
          </cell>
          <cell r="M25">
            <v>0</v>
          </cell>
          <cell r="N25">
            <v>0</v>
          </cell>
          <cell r="O25">
            <v>0</v>
          </cell>
          <cell r="P25">
            <v>0</v>
          </cell>
          <cell r="Q25">
            <v>1000</v>
          </cell>
          <cell r="R25">
            <v>0</v>
          </cell>
          <cell r="S25">
            <v>0</v>
          </cell>
          <cell r="T25">
            <v>7150.0000000000009</v>
          </cell>
          <cell r="Y25">
            <v>21508.58</v>
          </cell>
          <cell r="Z25">
            <v>12000</v>
          </cell>
        </row>
        <row r="26">
          <cell r="I26">
            <v>1214</v>
          </cell>
          <cell r="J26">
            <v>8128</v>
          </cell>
          <cell r="K26">
            <v>6900</v>
          </cell>
          <cell r="L26">
            <v>3000</v>
          </cell>
          <cell r="M26">
            <v>4106</v>
          </cell>
          <cell r="N26">
            <v>0</v>
          </cell>
          <cell r="O26">
            <v>2428</v>
          </cell>
          <cell r="P26">
            <v>42</v>
          </cell>
          <cell r="Q26">
            <v>3000</v>
          </cell>
          <cell r="R26">
            <v>5128</v>
          </cell>
          <cell r="S26">
            <v>0</v>
          </cell>
          <cell r="T26">
            <v>1242</v>
          </cell>
          <cell r="Y26">
            <v>19310.3</v>
          </cell>
          <cell r="Z26">
            <v>11921</v>
          </cell>
        </row>
        <row r="30">
          <cell r="I30">
            <v>32400</v>
          </cell>
          <cell r="J30">
            <v>1412</v>
          </cell>
          <cell r="K30">
            <v>3068</v>
          </cell>
          <cell r="L30">
            <v>5041</v>
          </cell>
          <cell r="M30">
            <v>5323</v>
          </cell>
          <cell r="N30">
            <v>34082</v>
          </cell>
          <cell r="O30">
            <v>1700</v>
          </cell>
          <cell r="P30">
            <v>4753</v>
          </cell>
          <cell r="Q30">
            <v>34082</v>
          </cell>
          <cell r="R30">
            <v>300</v>
          </cell>
          <cell r="S30">
            <v>16200</v>
          </cell>
          <cell r="T30">
            <v>1650</v>
          </cell>
          <cell r="Y30">
            <v>97005.5</v>
          </cell>
          <cell r="Z30">
            <v>307775</v>
          </cell>
        </row>
        <row r="33">
          <cell r="I33">
            <v>0</v>
          </cell>
          <cell r="J33">
            <v>0</v>
          </cell>
          <cell r="K33">
            <v>0</v>
          </cell>
          <cell r="L33">
            <v>0</v>
          </cell>
          <cell r="M33">
            <v>322000</v>
          </cell>
          <cell r="N33">
            <v>200000</v>
          </cell>
          <cell r="O33">
            <v>161000</v>
          </cell>
          <cell r="P33">
            <v>0</v>
          </cell>
          <cell r="Q33">
            <v>0</v>
          </cell>
          <cell r="R33">
            <v>0</v>
          </cell>
          <cell r="S33">
            <v>0</v>
          </cell>
          <cell r="T33">
            <v>346000</v>
          </cell>
          <cell r="Y33">
            <v>658000</v>
          </cell>
          <cell r="Z33">
            <v>1264357</v>
          </cell>
        </row>
        <row r="36">
          <cell r="I36">
            <v>158375</v>
          </cell>
          <cell r="J36">
            <v>158375</v>
          </cell>
          <cell r="K36">
            <v>158375</v>
          </cell>
          <cell r="L36">
            <v>158375</v>
          </cell>
          <cell r="M36">
            <v>158375</v>
          </cell>
          <cell r="N36">
            <v>158375</v>
          </cell>
          <cell r="O36">
            <v>158375</v>
          </cell>
          <cell r="P36">
            <v>158375</v>
          </cell>
          <cell r="Q36">
            <v>158375</v>
          </cell>
          <cell r="R36">
            <v>158375</v>
          </cell>
          <cell r="S36">
            <v>158375</v>
          </cell>
          <cell r="T36">
            <v>158375</v>
          </cell>
          <cell r="Y36">
            <v>1390928.6700000002</v>
          </cell>
          <cell r="Z36">
            <v>1810000</v>
          </cell>
        </row>
        <row r="37">
          <cell r="I37">
            <v>20</v>
          </cell>
          <cell r="J37">
            <v>20</v>
          </cell>
          <cell r="K37">
            <v>20</v>
          </cell>
          <cell r="L37">
            <v>20</v>
          </cell>
          <cell r="M37">
            <v>20</v>
          </cell>
          <cell r="N37">
            <v>20</v>
          </cell>
          <cell r="O37">
            <v>20</v>
          </cell>
          <cell r="P37">
            <v>20</v>
          </cell>
          <cell r="Q37">
            <v>20</v>
          </cell>
          <cell r="R37">
            <v>20</v>
          </cell>
          <cell r="S37">
            <v>20</v>
          </cell>
          <cell r="T37">
            <v>20</v>
          </cell>
          <cell r="Y37">
            <v>-6.44</v>
          </cell>
          <cell r="Z37">
            <v>360</v>
          </cell>
        </row>
        <row r="38">
          <cell r="I38">
            <v>1000</v>
          </cell>
          <cell r="J38">
            <v>1000</v>
          </cell>
          <cell r="K38">
            <v>1000</v>
          </cell>
          <cell r="L38">
            <v>1000</v>
          </cell>
          <cell r="M38">
            <v>1000</v>
          </cell>
          <cell r="N38">
            <v>1000</v>
          </cell>
          <cell r="O38">
            <v>1000</v>
          </cell>
          <cell r="P38">
            <v>1000</v>
          </cell>
          <cell r="Q38">
            <v>1000</v>
          </cell>
          <cell r="R38">
            <v>1000</v>
          </cell>
          <cell r="S38">
            <v>1000</v>
          </cell>
          <cell r="T38">
            <v>1000</v>
          </cell>
          <cell r="Y38">
            <v>7764.04</v>
          </cell>
          <cell r="Z38">
            <v>9600</v>
          </cell>
        </row>
        <row r="39">
          <cell r="I39">
            <v>3625</v>
          </cell>
          <cell r="J39">
            <v>3625</v>
          </cell>
          <cell r="K39">
            <v>3625</v>
          </cell>
          <cell r="L39">
            <v>3625</v>
          </cell>
          <cell r="M39">
            <v>3625</v>
          </cell>
          <cell r="N39">
            <v>3625</v>
          </cell>
          <cell r="O39">
            <v>3625</v>
          </cell>
          <cell r="P39">
            <v>3625</v>
          </cell>
          <cell r="Q39">
            <v>3625</v>
          </cell>
          <cell r="R39">
            <v>3625</v>
          </cell>
          <cell r="S39">
            <v>3625</v>
          </cell>
          <cell r="T39">
            <v>3625</v>
          </cell>
          <cell r="Y39">
            <v>30008.38</v>
          </cell>
          <cell r="Z39">
            <v>41750</v>
          </cell>
        </row>
        <row r="42">
          <cell r="I42">
            <v>15375</v>
          </cell>
          <cell r="J42">
            <v>15375</v>
          </cell>
          <cell r="K42">
            <v>15375</v>
          </cell>
          <cell r="L42">
            <v>15375</v>
          </cell>
          <cell r="M42">
            <v>15375</v>
          </cell>
          <cell r="N42">
            <v>15375</v>
          </cell>
          <cell r="O42">
            <v>15375</v>
          </cell>
          <cell r="P42">
            <v>15375</v>
          </cell>
          <cell r="Q42">
            <v>15375</v>
          </cell>
          <cell r="R42">
            <v>15375</v>
          </cell>
          <cell r="S42">
            <v>15375</v>
          </cell>
          <cell r="T42">
            <v>15375</v>
          </cell>
          <cell r="Y42">
            <v>493098.42</v>
          </cell>
          <cell r="Z42">
            <v>184500</v>
          </cell>
        </row>
        <row r="43">
          <cell r="I43">
            <v>0</v>
          </cell>
          <cell r="J43">
            <v>0</v>
          </cell>
          <cell r="K43">
            <v>0</v>
          </cell>
          <cell r="L43">
            <v>0</v>
          </cell>
          <cell r="M43">
            <v>0</v>
          </cell>
          <cell r="N43">
            <v>0</v>
          </cell>
          <cell r="O43">
            <v>0</v>
          </cell>
          <cell r="P43">
            <v>0</v>
          </cell>
          <cell r="Q43">
            <v>0</v>
          </cell>
          <cell r="R43">
            <v>0</v>
          </cell>
          <cell r="S43">
            <v>7500</v>
          </cell>
          <cell r="T43">
            <v>0</v>
          </cell>
        </row>
        <row r="44">
          <cell r="I44">
            <v>0</v>
          </cell>
          <cell r="J44">
            <v>0</v>
          </cell>
          <cell r="K44">
            <v>0</v>
          </cell>
          <cell r="L44">
            <v>0</v>
          </cell>
          <cell r="M44">
            <v>0</v>
          </cell>
          <cell r="N44">
            <v>0</v>
          </cell>
          <cell r="O44">
            <v>1050</v>
          </cell>
          <cell r="P44">
            <v>0</v>
          </cell>
          <cell r="Q44">
            <v>0</v>
          </cell>
          <cell r="R44">
            <v>0</v>
          </cell>
          <cell r="S44">
            <v>0</v>
          </cell>
          <cell r="T44">
            <v>0</v>
          </cell>
          <cell r="Y44">
            <v>1332</v>
          </cell>
          <cell r="Z44">
            <v>3150</v>
          </cell>
        </row>
        <row r="47">
          <cell r="I47">
            <v>70</v>
          </cell>
          <cell r="J47">
            <v>70</v>
          </cell>
          <cell r="K47">
            <v>70</v>
          </cell>
          <cell r="L47">
            <v>70</v>
          </cell>
          <cell r="M47">
            <v>70</v>
          </cell>
          <cell r="N47">
            <v>70</v>
          </cell>
          <cell r="O47">
            <v>70</v>
          </cell>
          <cell r="P47">
            <v>70</v>
          </cell>
          <cell r="Q47">
            <v>70</v>
          </cell>
          <cell r="R47">
            <v>70</v>
          </cell>
          <cell r="S47">
            <v>70</v>
          </cell>
          <cell r="T47">
            <v>70</v>
          </cell>
          <cell r="Y47">
            <v>575.88</v>
          </cell>
          <cell r="Z47">
            <v>840</v>
          </cell>
        </row>
        <row r="50">
          <cell r="I50">
            <v>1666.6666666666667</v>
          </cell>
          <cell r="J50">
            <v>1666.6666666666667</v>
          </cell>
          <cell r="K50">
            <v>1666.6666666666667</v>
          </cell>
          <cell r="L50">
            <v>1666.6666666666667</v>
          </cell>
          <cell r="M50">
            <v>1666.6666666666667</v>
          </cell>
          <cell r="N50">
            <v>1666.6666666666667</v>
          </cell>
          <cell r="O50">
            <v>1666.6666666666667</v>
          </cell>
          <cell r="P50">
            <v>1666.6666666666667</v>
          </cell>
          <cell r="Q50">
            <v>1666.6666666666667</v>
          </cell>
          <cell r="R50">
            <v>1666.6666666666667</v>
          </cell>
          <cell r="S50">
            <v>1666.6666666666667</v>
          </cell>
          <cell r="T50">
            <v>1666.6666666666667</v>
          </cell>
          <cell r="U50">
            <v>20000</v>
          </cell>
          <cell r="Y50">
            <v>25162.720000000001</v>
          </cell>
          <cell r="Z50">
            <v>0</v>
          </cell>
        </row>
        <row r="51">
          <cell r="I51">
            <v>1083.3333333333333</v>
          </cell>
          <cell r="J51">
            <v>1083.3333333333333</v>
          </cell>
          <cell r="K51">
            <v>1083.3333333333333</v>
          </cell>
          <cell r="L51">
            <v>1083.3333333333333</v>
          </cell>
          <cell r="M51">
            <v>1083.3333333333333</v>
          </cell>
          <cell r="N51">
            <v>1083.3333333333333</v>
          </cell>
          <cell r="O51">
            <v>1083.3333333333333</v>
          </cell>
          <cell r="P51">
            <v>1083.3333333333333</v>
          </cell>
          <cell r="Q51">
            <v>1083.3333333333333</v>
          </cell>
          <cell r="R51">
            <v>1083.3333333333333</v>
          </cell>
          <cell r="S51">
            <v>1083.3333333333333</v>
          </cell>
          <cell r="T51">
            <v>1083.3333333333333</v>
          </cell>
          <cell r="Y51">
            <v>8532.1299999999992</v>
          </cell>
          <cell r="Z51">
            <v>10000</v>
          </cell>
        </row>
        <row r="52">
          <cell r="I52">
            <v>0</v>
          </cell>
          <cell r="J52">
            <v>0</v>
          </cell>
          <cell r="K52">
            <v>0</v>
          </cell>
          <cell r="L52">
            <v>0</v>
          </cell>
          <cell r="M52">
            <v>0</v>
          </cell>
          <cell r="N52">
            <v>0</v>
          </cell>
          <cell r="O52">
            <v>0</v>
          </cell>
          <cell r="P52">
            <v>0</v>
          </cell>
          <cell r="Q52">
            <v>0</v>
          </cell>
          <cell r="R52">
            <v>0</v>
          </cell>
          <cell r="S52">
            <v>0</v>
          </cell>
          <cell r="T52">
            <v>60000</v>
          </cell>
          <cell r="Y52">
            <v>50158.45</v>
          </cell>
          <cell r="Z52">
            <v>25000</v>
          </cell>
        </row>
        <row r="54">
          <cell r="U54">
            <v>4499479</v>
          </cell>
        </row>
        <row r="55">
          <cell r="U55">
            <v>4499479</v>
          </cell>
          <cell r="Y55">
            <v>3128184.1500000004</v>
          </cell>
          <cell r="Z55">
            <v>4546253</v>
          </cell>
        </row>
        <row r="58">
          <cell r="I58">
            <v>1250</v>
          </cell>
          <cell r="J58">
            <v>1250</v>
          </cell>
          <cell r="K58">
            <v>1250</v>
          </cell>
          <cell r="L58">
            <v>1250</v>
          </cell>
          <cell r="M58">
            <v>3300</v>
          </cell>
          <cell r="N58">
            <v>1275</v>
          </cell>
          <cell r="O58">
            <v>1275</v>
          </cell>
          <cell r="P58">
            <v>1275</v>
          </cell>
          <cell r="Q58">
            <v>1275</v>
          </cell>
          <cell r="R58">
            <v>1275</v>
          </cell>
          <cell r="S58">
            <v>1275</v>
          </cell>
          <cell r="T58">
            <v>1275</v>
          </cell>
          <cell r="Y58">
            <v>11295.48</v>
          </cell>
          <cell r="Z58">
            <v>17176</v>
          </cell>
        </row>
        <row r="60">
          <cell r="I60">
            <v>0</v>
          </cell>
          <cell r="J60">
            <v>0</v>
          </cell>
          <cell r="K60">
            <v>0</v>
          </cell>
          <cell r="L60">
            <v>0</v>
          </cell>
          <cell r="M60">
            <v>280000</v>
          </cell>
          <cell r="N60">
            <v>420000</v>
          </cell>
          <cell r="O60">
            <v>140000</v>
          </cell>
          <cell r="P60">
            <v>0</v>
          </cell>
          <cell r="Q60">
            <v>0</v>
          </cell>
          <cell r="R60">
            <v>0</v>
          </cell>
          <cell r="S60">
            <v>0</v>
          </cell>
          <cell r="T60">
            <v>280000</v>
          </cell>
          <cell r="Y60">
            <v>784220.08</v>
          </cell>
          <cell r="Z60">
            <v>1000000</v>
          </cell>
        </row>
        <row r="61">
          <cell r="I61">
            <v>416.66666666666669</v>
          </cell>
          <cell r="J61">
            <v>416.66666666666669</v>
          </cell>
          <cell r="K61">
            <v>416.66666666666669</v>
          </cell>
          <cell r="L61">
            <v>416.66666666666669</v>
          </cell>
          <cell r="M61">
            <v>416.66666666666669</v>
          </cell>
          <cell r="N61">
            <v>416.66666666666669</v>
          </cell>
          <cell r="O61">
            <v>416.66666666666669</v>
          </cell>
          <cell r="P61">
            <v>416.66666666666669</v>
          </cell>
          <cell r="Q61">
            <v>416.66666666666669</v>
          </cell>
          <cell r="R61">
            <v>416.66666666666669</v>
          </cell>
          <cell r="S61">
            <v>416.66666666666669</v>
          </cell>
          <cell r="T61">
            <v>416.66666666666669</v>
          </cell>
          <cell r="Y61">
            <v>3764.79</v>
          </cell>
          <cell r="Z61">
            <v>5000</v>
          </cell>
        </row>
        <row r="62">
          <cell r="I62">
            <v>0</v>
          </cell>
          <cell r="J62">
            <v>0</v>
          </cell>
          <cell r="K62">
            <v>0</v>
          </cell>
          <cell r="L62">
            <v>0</v>
          </cell>
          <cell r="M62">
            <v>0</v>
          </cell>
          <cell r="N62">
            <v>0</v>
          </cell>
          <cell r="O62">
            <v>0</v>
          </cell>
          <cell r="P62">
            <v>0</v>
          </cell>
          <cell r="Q62">
            <v>0</v>
          </cell>
          <cell r="R62">
            <v>0</v>
          </cell>
          <cell r="S62">
            <v>0</v>
          </cell>
          <cell r="T62">
            <v>0</v>
          </cell>
          <cell r="Y62">
            <v>625.83000000000004</v>
          </cell>
          <cell r="Z62">
            <v>1500</v>
          </cell>
        </row>
        <row r="63">
          <cell r="I63">
            <v>100</v>
          </cell>
          <cell r="J63">
            <v>100</v>
          </cell>
          <cell r="K63">
            <v>100</v>
          </cell>
          <cell r="L63">
            <v>100</v>
          </cell>
          <cell r="M63">
            <v>100</v>
          </cell>
          <cell r="N63">
            <v>100</v>
          </cell>
          <cell r="O63">
            <v>100</v>
          </cell>
          <cell r="P63">
            <v>100</v>
          </cell>
          <cell r="Q63">
            <v>100</v>
          </cell>
          <cell r="R63">
            <v>100</v>
          </cell>
          <cell r="S63">
            <v>100</v>
          </cell>
          <cell r="T63">
            <v>100</v>
          </cell>
          <cell r="Y63">
            <v>900</v>
          </cell>
          <cell r="Z63">
            <v>1200</v>
          </cell>
        </row>
        <row r="64">
          <cell r="I64">
            <v>0</v>
          </cell>
          <cell r="J64">
            <v>0</v>
          </cell>
          <cell r="K64">
            <v>375</v>
          </cell>
          <cell r="L64">
            <v>0</v>
          </cell>
          <cell r="M64">
            <v>0</v>
          </cell>
          <cell r="N64">
            <v>375</v>
          </cell>
          <cell r="O64">
            <v>0</v>
          </cell>
          <cell r="P64">
            <v>0</v>
          </cell>
          <cell r="Q64">
            <v>375</v>
          </cell>
          <cell r="R64">
            <v>0</v>
          </cell>
          <cell r="S64">
            <v>0</v>
          </cell>
          <cell r="T64">
            <v>375</v>
          </cell>
          <cell r="Y64">
            <v>2089.6</v>
          </cell>
          <cell r="Z64">
            <v>3000</v>
          </cell>
        </row>
        <row r="65">
          <cell r="I65">
            <v>0</v>
          </cell>
          <cell r="J65">
            <v>0</v>
          </cell>
          <cell r="K65">
            <v>0</v>
          </cell>
          <cell r="L65">
            <v>5000</v>
          </cell>
          <cell r="M65">
            <v>0</v>
          </cell>
          <cell r="N65">
            <v>0</v>
          </cell>
          <cell r="O65">
            <v>5000</v>
          </cell>
          <cell r="P65">
            <v>0</v>
          </cell>
          <cell r="Q65">
            <v>0</v>
          </cell>
          <cell r="R65">
            <v>0</v>
          </cell>
          <cell r="S65">
            <v>0</v>
          </cell>
          <cell r="T65">
            <v>5000</v>
          </cell>
          <cell r="Y65">
            <v>4225.13</v>
          </cell>
          <cell r="Z65">
            <v>0</v>
          </cell>
        </row>
        <row r="66">
          <cell r="I66">
            <v>0</v>
          </cell>
          <cell r="J66">
            <v>0</v>
          </cell>
          <cell r="K66">
            <v>0</v>
          </cell>
          <cell r="L66">
            <v>0</v>
          </cell>
          <cell r="M66">
            <v>0</v>
          </cell>
          <cell r="N66">
            <v>0</v>
          </cell>
          <cell r="O66">
            <v>0</v>
          </cell>
          <cell r="P66">
            <v>0</v>
          </cell>
          <cell r="Q66">
            <v>0</v>
          </cell>
          <cell r="R66">
            <v>0</v>
          </cell>
          <cell r="S66">
            <v>7500</v>
          </cell>
          <cell r="T66">
            <v>0</v>
          </cell>
          <cell r="Y66">
            <v>11296.46</v>
          </cell>
          <cell r="Z66">
            <v>15720</v>
          </cell>
        </row>
        <row r="68">
          <cell r="I68">
            <v>3961</v>
          </cell>
          <cell r="J68">
            <v>0</v>
          </cell>
          <cell r="K68">
            <v>3961</v>
          </cell>
          <cell r="L68">
            <v>0</v>
          </cell>
          <cell r="M68">
            <v>0</v>
          </cell>
          <cell r="N68">
            <v>3961</v>
          </cell>
          <cell r="O68">
            <v>0</v>
          </cell>
          <cell r="P68">
            <v>3850</v>
          </cell>
          <cell r="Q68">
            <v>4357</v>
          </cell>
          <cell r="R68">
            <v>0</v>
          </cell>
          <cell r="S68">
            <v>0</v>
          </cell>
          <cell r="T68">
            <v>0</v>
          </cell>
          <cell r="Y68">
            <v>17078.349999999999</v>
          </cell>
          <cell r="Z68">
            <v>16365.75</v>
          </cell>
        </row>
        <row r="74">
          <cell r="I74">
            <v>0</v>
          </cell>
          <cell r="J74">
            <v>0</v>
          </cell>
          <cell r="K74">
            <v>0</v>
          </cell>
          <cell r="L74">
            <v>0</v>
          </cell>
          <cell r="M74">
            <v>0</v>
          </cell>
          <cell r="N74">
            <v>0</v>
          </cell>
          <cell r="O74">
            <v>0</v>
          </cell>
          <cell r="P74">
            <v>0</v>
          </cell>
          <cell r="Q74">
            <v>0</v>
          </cell>
          <cell r="R74">
            <v>75</v>
          </cell>
          <cell r="S74">
            <v>0</v>
          </cell>
          <cell r="T74">
            <v>0</v>
          </cell>
          <cell r="Y74">
            <v>0</v>
          </cell>
          <cell r="Z74">
            <v>75</v>
          </cell>
        </row>
        <row r="75">
          <cell r="I75">
            <v>0</v>
          </cell>
          <cell r="J75">
            <v>0</v>
          </cell>
          <cell r="K75">
            <v>0</v>
          </cell>
          <cell r="L75">
            <v>0</v>
          </cell>
          <cell r="M75">
            <v>84179.177500000005</v>
          </cell>
          <cell r="N75">
            <v>168358.35500000001</v>
          </cell>
          <cell r="O75">
            <v>84179.177500000005</v>
          </cell>
          <cell r="P75">
            <v>0</v>
          </cell>
          <cell r="Q75">
            <v>0</v>
          </cell>
          <cell r="R75">
            <v>0</v>
          </cell>
          <cell r="S75">
            <v>0</v>
          </cell>
          <cell r="T75">
            <v>103283.28750000001</v>
          </cell>
          <cell r="Y75">
            <v>336716.71</v>
          </cell>
          <cell r="Z75">
            <v>600000</v>
          </cell>
        </row>
        <row r="76">
          <cell r="I76">
            <v>0</v>
          </cell>
          <cell r="J76">
            <v>0</v>
          </cell>
          <cell r="K76">
            <v>0</v>
          </cell>
          <cell r="L76">
            <v>0</v>
          </cell>
          <cell r="M76">
            <v>4560</v>
          </cell>
          <cell r="N76">
            <v>0</v>
          </cell>
          <cell r="O76">
            <v>1520</v>
          </cell>
          <cell r="P76">
            <v>3040</v>
          </cell>
          <cell r="Q76">
            <v>0</v>
          </cell>
          <cell r="R76">
            <v>1520</v>
          </cell>
          <cell r="S76">
            <v>0</v>
          </cell>
          <cell r="T76">
            <v>0</v>
          </cell>
          <cell r="Y76">
            <v>24096.84</v>
          </cell>
          <cell r="Z76">
            <v>14400</v>
          </cell>
        </row>
        <row r="79">
          <cell r="I79">
            <v>0</v>
          </cell>
          <cell r="J79">
            <v>0</v>
          </cell>
          <cell r="K79">
            <v>0</v>
          </cell>
          <cell r="L79">
            <v>135</v>
          </cell>
          <cell r="M79">
            <v>0</v>
          </cell>
          <cell r="N79">
            <v>45</v>
          </cell>
          <cell r="O79">
            <v>1440</v>
          </cell>
          <cell r="P79">
            <v>0</v>
          </cell>
          <cell r="Q79">
            <v>45</v>
          </cell>
          <cell r="R79">
            <v>0</v>
          </cell>
          <cell r="S79">
            <v>0</v>
          </cell>
          <cell r="T79">
            <v>0</v>
          </cell>
          <cell r="Y79">
            <v>2025.12</v>
          </cell>
          <cell r="Z79">
            <v>3535</v>
          </cell>
        </row>
        <row r="83">
          <cell r="I83">
            <v>700</v>
          </cell>
          <cell r="J83">
            <v>700</v>
          </cell>
          <cell r="K83">
            <v>800</v>
          </cell>
          <cell r="L83">
            <v>900</v>
          </cell>
          <cell r="M83">
            <v>900</v>
          </cell>
          <cell r="N83">
            <v>700</v>
          </cell>
          <cell r="O83">
            <v>800</v>
          </cell>
          <cell r="P83">
            <v>800</v>
          </cell>
          <cell r="Q83">
            <v>700</v>
          </cell>
          <cell r="R83">
            <v>900</v>
          </cell>
          <cell r="S83">
            <v>800</v>
          </cell>
          <cell r="T83">
            <v>400</v>
          </cell>
          <cell r="Y83">
            <v>7674.11</v>
          </cell>
          <cell r="Z83">
            <v>14380</v>
          </cell>
        </row>
        <row r="89">
          <cell r="I89">
            <v>0</v>
          </cell>
          <cell r="J89">
            <v>0</v>
          </cell>
          <cell r="K89">
            <v>0</v>
          </cell>
          <cell r="L89">
            <v>0</v>
          </cell>
          <cell r="M89">
            <v>0</v>
          </cell>
          <cell r="N89">
            <v>0</v>
          </cell>
          <cell r="O89">
            <v>0</v>
          </cell>
          <cell r="P89">
            <v>0</v>
          </cell>
          <cell r="Q89">
            <v>0</v>
          </cell>
          <cell r="R89">
            <v>10000</v>
          </cell>
          <cell r="S89">
            <v>0</v>
          </cell>
          <cell r="T89">
            <v>0</v>
          </cell>
          <cell r="U89">
            <v>10000</v>
          </cell>
          <cell r="Y89">
            <v>0</v>
          </cell>
          <cell r="Z89">
            <v>0</v>
          </cell>
        </row>
        <row r="90">
          <cell r="I90">
            <v>0</v>
          </cell>
          <cell r="J90">
            <v>800</v>
          </cell>
          <cell r="K90">
            <v>165</v>
          </cell>
          <cell r="L90">
            <v>0</v>
          </cell>
          <cell r="M90">
            <v>45</v>
          </cell>
          <cell r="N90">
            <v>0</v>
          </cell>
          <cell r="O90">
            <v>0</v>
          </cell>
          <cell r="P90">
            <v>0</v>
          </cell>
          <cell r="Q90">
            <v>0</v>
          </cell>
          <cell r="R90">
            <v>0</v>
          </cell>
          <cell r="S90">
            <v>0</v>
          </cell>
          <cell r="T90">
            <v>0</v>
          </cell>
          <cell r="Y90">
            <v>71.75</v>
          </cell>
          <cell r="Z90">
            <v>345</v>
          </cell>
        </row>
        <row r="95">
          <cell r="I95">
            <v>0</v>
          </cell>
          <cell r="J95">
            <v>0</v>
          </cell>
          <cell r="K95">
            <v>0</v>
          </cell>
          <cell r="L95">
            <v>450</v>
          </cell>
          <cell r="M95">
            <v>0</v>
          </cell>
          <cell r="N95">
            <v>0</v>
          </cell>
          <cell r="O95">
            <v>300</v>
          </cell>
          <cell r="P95">
            <v>350</v>
          </cell>
          <cell r="Q95">
            <v>0</v>
          </cell>
          <cell r="R95">
            <v>300</v>
          </cell>
          <cell r="S95">
            <v>0</v>
          </cell>
          <cell r="T95">
            <v>0</v>
          </cell>
          <cell r="Y95">
            <v>1472.31</v>
          </cell>
          <cell r="Z95">
            <v>445</v>
          </cell>
        </row>
        <row r="96">
          <cell r="I96">
            <v>100</v>
          </cell>
          <cell r="J96">
            <v>100</v>
          </cell>
          <cell r="K96">
            <v>100</v>
          </cell>
          <cell r="L96">
            <v>100</v>
          </cell>
          <cell r="M96">
            <v>100</v>
          </cell>
          <cell r="N96">
            <v>100</v>
          </cell>
          <cell r="O96">
            <v>100</v>
          </cell>
          <cell r="P96">
            <v>100</v>
          </cell>
          <cell r="Q96">
            <v>100</v>
          </cell>
          <cell r="R96">
            <v>100</v>
          </cell>
          <cell r="S96">
            <v>100</v>
          </cell>
          <cell r="T96">
            <v>100</v>
          </cell>
          <cell r="Y96">
            <v>78.45</v>
          </cell>
          <cell r="Z96">
            <v>875</v>
          </cell>
        </row>
        <row r="97">
          <cell r="I97">
            <v>50</v>
          </cell>
          <cell r="J97">
            <v>50</v>
          </cell>
          <cell r="K97">
            <v>50</v>
          </cell>
          <cell r="L97">
            <v>50</v>
          </cell>
          <cell r="M97">
            <v>50</v>
          </cell>
          <cell r="N97">
            <v>50</v>
          </cell>
          <cell r="O97">
            <v>50</v>
          </cell>
          <cell r="P97">
            <v>50</v>
          </cell>
          <cell r="Q97">
            <v>50</v>
          </cell>
          <cell r="R97">
            <v>50</v>
          </cell>
          <cell r="S97">
            <v>50</v>
          </cell>
          <cell r="T97">
            <v>50</v>
          </cell>
          <cell r="Y97">
            <v>463.61</v>
          </cell>
          <cell r="Z97">
            <v>0</v>
          </cell>
        </row>
        <row r="99">
          <cell r="I99">
            <v>250</v>
          </cell>
          <cell r="J99">
            <v>1049</v>
          </cell>
          <cell r="K99">
            <v>250</v>
          </cell>
          <cell r="L99">
            <v>250</v>
          </cell>
          <cell r="M99">
            <v>250</v>
          </cell>
          <cell r="N99">
            <v>250</v>
          </cell>
          <cell r="O99">
            <v>250</v>
          </cell>
          <cell r="P99">
            <v>550</v>
          </cell>
          <cell r="Q99">
            <v>250</v>
          </cell>
          <cell r="R99">
            <v>250</v>
          </cell>
          <cell r="S99">
            <v>250</v>
          </cell>
          <cell r="T99">
            <v>250</v>
          </cell>
          <cell r="Y99">
            <v>1149.21</v>
          </cell>
          <cell r="Z99">
            <v>8210</v>
          </cell>
        </row>
        <row r="102">
          <cell r="I102">
            <v>0</v>
          </cell>
          <cell r="J102">
            <v>0</v>
          </cell>
          <cell r="K102">
            <v>0</v>
          </cell>
          <cell r="L102">
            <v>45</v>
          </cell>
          <cell r="M102">
            <v>0</v>
          </cell>
          <cell r="N102">
            <v>15</v>
          </cell>
          <cell r="O102">
            <v>30</v>
          </cell>
          <cell r="P102">
            <v>90</v>
          </cell>
          <cell r="Q102">
            <v>15</v>
          </cell>
          <cell r="R102">
            <v>0</v>
          </cell>
          <cell r="S102">
            <v>0</v>
          </cell>
          <cell r="T102">
            <v>0</v>
          </cell>
          <cell r="U102">
            <v>195</v>
          </cell>
          <cell r="Y102">
            <v>212</v>
          </cell>
          <cell r="Z102">
            <v>460</v>
          </cell>
        </row>
        <row r="108">
          <cell r="I108">
            <v>0</v>
          </cell>
          <cell r="J108">
            <v>0</v>
          </cell>
          <cell r="K108">
            <v>17500</v>
          </cell>
          <cell r="L108">
            <v>0</v>
          </cell>
          <cell r="M108">
            <v>0</v>
          </cell>
          <cell r="N108">
            <v>17500</v>
          </cell>
          <cell r="O108">
            <v>0</v>
          </cell>
          <cell r="P108">
            <v>0</v>
          </cell>
          <cell r="Q108">
            <v>17500</v>
          </cell>
          <cell r="R108">
            <v>0</v>
          </cell>
          <cell r="S108">
            <v>0</v>
          </cell>
          <cell r="T108">
            <v>17500</v>
          </cell>
          <cell r="Y108">
            <v>48750</v>
          </cell>
          <cell r="Z108">
            <v>65000</v>
          </cell>
        </row>
        <row r="110">
          <cell r="I110">
            <v>94865.874166666676</v>
          </cell>
          <cell r="J110">
            <v>94865.874166666676</v>
          </cell>
          <cell r="K110">
            <v>94865.874166666676</v>
          </cell>
          <cell r="L110">
            <v>94865.874166666676</v>
          </cell>
          <cell r="M110">
            <v>94865.874166666676</v>
          </cell>
          <cell r="N110">
            <v>94865.874166666676</v>
          </cell>
          <cell r="O110">
            <v>94865.874166666676</v>
          </cell>
          <cell r="P110">
            <v>94865.874166666676</v>
          </cell>
          <cell r="Q110">
            <v>94865.874166666676</v>
          </cell>
          <cell r="R110">
            <v>94865.874166666676</v>
          </cell>
          <cell r="S110">
            <v>94865.874166666676</v>
          </cell>
          <cell r="T110">
            <v>94865.874166666676</v>
          </cell>
          <cell r="Y110">
            <v>608071.63</v>
          </cell>
          <cell r="Z110">
            <v>906320.04</v>
          </cell>
        </row>
        <row r="117">
          <cell r="I117">
            <v>1967.4375</v>
          </cell>
          <cell r="J117">
            <v>1967.4375</v>
          </cell>
          <cell r="K117">
            <v>1967.4375</v>
          </cell>
          <cell r="L117">
            <v>1967.4375</v>
          </cell>
          <cell r="M117">
            <v>1967.4375</v>
          </cell>
          <cell r="N117">
            <v>1967.4375</v>
          </cell>
          <cell r="O117">
            <v>1967.4375</v>
          </cell>
          <cell r="P117">
            <v>1967.4375</v>
          </cell>
          <cell r="Q117">
            <v>1967.4375</v>
          </cell>
          <cell r="R117">
            <v>1967.4375</v>
          </cell>
          <cell r="S117">
            <v>1967.4375</v>
          </cell>
          <cell r="T117">
            <v>1967.4375</v>
          </cell>
          <cell r="Y117">
            <v>4044.41</v>
          </cell>
          <cell r="Z117">
            <v>17280</v>
          </cell>
        </row>
        <row r="122">
          <cell r="I122">
            <v>10892.906666666666</v>
          </cell>
          <cell r="J122">
            <v>10892.906666666666</v>
          </cell>
          <cell r="K122">
            <v>10892.906666666666</v>
          </cell>
          <cell r="L122">
            <v>10892.906666666666</v>
          </cell>
          <cell r="M122">
            <v>10892.906666666666</v>
          </cell>
          <cell r="N122">
            <v>10892.906666666666</v>
          </cell>
          <cell r="O122">
            <v>10892.906666666666</v>
          </cell>
          <cell r="P122">
            <v>10892.906666666666</v>
          </cell>
          <cell r="Q122">
            <v>10892.906666666666</v>
          </cell>
          <cell r="R122">
            <v>10892.906666666666</v>
          </cell>
          <cell r="S122">
            <v>10892.906666666666</v>
          </cell>
          <cell r="T122">
            <v>10892.906666666666</v>
          </cell>
          <cell r="Y122">
            <v>61019.19</v>
          </cell>
          <cell r="Z122">
            <v>92902</v>
          </cell>
        </row>
        <row r="127">
          <cell r="I127">
            <v>4672.166666666667</v>
          </cell>
          <cell r="J127">
            <v>5467.89</v>
          </cell>
          <cell r="K127">
            <v>5467.89</v>
          </cell>
          <cell r="L127">
            <v>5467.89</v>
          </cell>
          <cell r="M127">
            <v>5467.89</v>
          </cell>
          <cell r="N127">
            <v>5467.89</v>
          </cell>
          <cell r="O127">
            <v>1480.89</v>
          </cell>
          <cell r="P127">
            <v>1480.89</v>
          </cell>
          <cell r="Q127">
            <v>1480.89</v>
          </cell>
          <cell r="R127">
            <v>5866.8899999999994</v>
          </cell>
          <cell r="S127">
            <v>5866.8899999999994</v>
          </cell>
          <cell r="T127">
            <v>5866.8899999999994</v>
          </cell>
          <cell r="Y127">
            <v>25003.5</v>
          </cell>
          <cell r="Z127">
            <v>31328.37</v>
          </cell>
        </row>
        <row r="134">
          <cell r="I134">
            <v>0</v>
          </cell>
          <cell r="J134">
            <v>0</v>
          </cell>
          <cell r="K134">
            <v>0</v>
          </cell>
          <cell r="L134">
            <v>0</v>
          </cell>
          <cell r="M134">
            <v>0</v>
          </cell>
          <cell r="N134">
            <v>150</v>
          </cell>
          <cell r="O134">
            <v>0</v>
          </cell>
          <cell r="P134">
            <v>0</v>
          </cell>
          <cell r="Q134">
            <v>0</v>
          </cell>
          <cell r="R134">
            <v>0</v>
          </cell>
          <cell r="S134">
            <v>0</v>
          </cell>
          <cell r="T134">
            <v>0</v>
          </cell>
          <cell r="Y134">
            <v>210</v>
          </cell>
          <cell r="Z134">
            <v>150</v>
          </cell>
        </row>
        <row r="140">
          <cell r="I140">
            <v>833.33333333333337</v>
          </cell>
          <cell r="J140">
            <v>833.33333333333337</v>
          </cell>
          <cell r="K140">
            <v>833.33333333333337</v>
          </cell>
          <cell r="L140">
            <v>833.33333333333337</v>
          </cell>
          <cell r="M140">
            <v>833.33333333333337</v>
          </cell>
          <cell r="N140">
            <v>833.33333333333337</v>
          </cell>
          <cell r="O140">
            <v>833.33333333333337</v>
          </cell>
          <cell r="P140">
            <v>833.33333333333337</v>
          </cell>
          <cell r="Q140">
            <v>833.33333333333337</v>
          </cell>
          <cell r="R140">
            <v>833.33333333333337</v>
          </cell>
          <cell r="S140">
            <v>833.33333333333337</v>
          </cell>
          <cell r="T140">
            <v>833.33333333333337</v>
          </cell>
        </row>
        <row r="143">
          <cell r="I143">
            <v>10698.156666666666</v>
          </cell>
          <cell r="J143">
            <v>10698.156666666666</v>
          </cell>
          <cell r="K143">
            <v>10698.156666666666</v>
          </cell>
          <cell r="L143">
            <v>10698.156666666666</v>
          </cell>
          <cell r="M143">
            <v>10698.156666666666</v>
          </cell>
          <cell r="N143">
            <v>10698.156666666666</v>
          </cell>
          <cell r="O143">
            <v>10698.156666666666</v>
          </cell>
          <cell r="P143">
            <v>10698.156666666666</v>
          </cell>
          <cell r="Q143">
            <v>10698.156666666666</v>
          </cell>
          <cell r="R143">
            <v>10698.156666666666</v>
          </cell>
          <cell r="S143">
            <v>10698.156666666666</v>
          </cell>
          <cell r="T143">
            <v>10698.156666666666</v>
          </cell>
          <cell r="Y143">
            <v>68935.199999999997</v>
          </cell>
          <cell r="Z143">
            <v>112637</v>
          </cell>
        </row>
        <row r="153">
          <cell r="I153">
            <v>2005</v>
          </cell>
          <cell r="J153">
            <v>1970</v>
          </cell>
          <cell r="K153">
            <v>1970</v>
          </cell>
          <cell r="L153">
            <v>1970</v>
          </cell>
          <cell r="M153">
            <v>1970</v>
          </cell>
          <cell r="N153">
            <v>1970</v>
          </cell>
          <cell r="O153">
            <v>2005</v>
          </cell>
          <cell r="P153">
            <v>1970</v>
          </cell>
          <cell r="Q153">
            <v>1970</v>
          </cell>
          <cell r="R153">
            <v>1970</v>
          </cell>
          <cell r="S153">
            <v>1970</v>
          </cell>
          <cell r="T153">
            <v>2005</v>
          </cell>
          <cell r="Y153">
            <v>20578.71</v>
          </cell>
          <cell r="Z153">
            <v>24300</v>
          </cell>
        </row>
        <row r="157">
          <cell r="I157">
            <v>0</v>
          </cell>
          <cell r="J157">
            <v>325</v>
          </cell>
          <cell r="K157">
            <v>0</v>
          </cell>
          <cell r="L157">
            <v>1000</v>
          </cell>
          <cell r="M157">
            <v>0</v>
          </cell>
          <cell r="N157">
            <v>325</v>
          </cell>
          <cell r="O157">
            <v>0</v>
          </cell>
          <cell r="P157">
            <v>500</v>
          </cell>
          <cell r="Q157">
            <v>0</v>
          </cell>
          <cell r="R157">
            <v>325</v>
          </cell>
          <cell r="S157">
            <v>0</v>
          </cell>
          <cell r="T157">
            <v>0</v>
          </cell>
          <cell r="Y157">
            <v>545.97</v>
          </cell>
          <cell r="Z157">
            <v>2575</v>
          </cell>
        </row>
        <row r="163">
          <cell r="I163">
            <v>3673</v>
          </cell>
          <cell r="J163">
            <v>0</v>
          </cell>
          <cell r="K163">
            <v>300</v>
          </cell>
          <cell r="L163">
            <v>0</v>
          </cell>
          <cell r="M163">
            <v>442.5</v>
          </cell>
          <cell r="N163">
            <v>1155</v>
          </cell>
          <cell r="O163">
            <v>275</v>
          </cell>
          <cell r="P163">
            <v>55</v>
          </cell>
          <cell r="Q163">
            <v>55</v>
          </cell>
          <cell r="R163">
            <v>55</v>
          </cell>
          <cell r="S163">
            <v>55</v>
          </cell>
          <cell r="T163">
            <v>55</v>
          </cell>
          <cell r="Y163">
            <v>14503.61</v>
          </cell>
          <cell r="Z163">
            <v>19683.75</v>
          </cell>
        </row>
        <row r="173">
          <cell r="I173">
            <v>541.33333333333326</v>
          </cell>
          <cell r="J173">
            <v>383.33333333333331</v>
          </cell>
          <cell r="K173">
            <v>383.33333333333331</v>
          </cell>
          <cell r="L173">
            <v>541.33333333333326</v>
          </cell>
          <cell r="M173">
            <v>383.33333333333331</v>
          </cell>
          <cell r="N173">
            <v>595.33333333333326</v>
          </cell>
          <cell r="O173">
            <v>541.33333333333326</v>
          </cell>
          <cell r="P173">
            <v>383.33333333333331</v>
          </cell>
          <cell r="Q173">
            <v>383.33333333333331</v>
          </cell>
          <cell r="R173">
            <v>541.33333333333326</v>
          </cell>
          <cell r="S173">
            <v>383.33333333333331</v>
          </cell>
          <cell r="T173">
            <v>425.33333333333331</v>
          </cell>
          <cell r="Y173">
            <v>4470.9399999999996</v>
          </cell>
          <cell r="Z173">
            <v>6341.36</v>
          </cell>
        </row>
        <row r="183">
          <cell r="I183">
            <v>209</v>
          </cell>
          <cell r="J183">
            <v>99</v>
          </cell>
          <cell r="K183">
            <v>99</v>
          </cell>
          <cell r="L183">
            <v>99</v>
          </cell>
          <cell r="M183">
            <v>99</v>
          </cell>
          <cell r="N183">
            <v>177</v>
          </cell>
          <cell r="O183">
            <v>99</v>
          </cell>
          <cell r="P183">
            <v>99</v>
          </cell>
          <cell r="Q183">
            <v>99</v>
          </cell>
          <cell r="R183">
            <v>99</v>
          </cell>
          <cell r="S183">
            <v>99</v>
          </cell>
          <cell r="T183">
            <v>99</v>
          </cell>
          <cell r="Y183">
            <v>2933.25</v>
          </cell>
          <cell r="Z183">
            <v>4299</v>
          </cell>
        </row>
        <row r="190">
          <cell r="I190">
            <v>1346</v>
          </cell>
          <cell r="J190">
            <v>1346</v>
          </cell>
          <cell r="K190">
            <v>1346</v>
          </cell>
          <cell r="L190">
            <v>1346</v>
          </cell>
          <cell r="M190">
            <v>1346</v>
          </cell>
          <cell r="N190">
            <v>1346</v>
          </cell>
          <cell r="O190">
            <v>1346</v>
          </cell>
          <cell r="P190">
            <v>1346</v>
          </cell>
          <cell r="Q190">
            <v>1346</v>
          </cell>
          <cell r="R190">
            <v>1346</v>
          </cell>
          <cell r="S190">
            <v>1346</v>
          </cell>
          <cell r="T190">
            <v>1346</v>
          </cell>
          <cell r="Y190">
            <v>12563.84</v>
          </cell>
          <cell r="Z190">
            <v>17600</v>
          </cell>
        </row>
        <row r="198">
          <cell r="I198">
            <v>63</v>
          </cell>
          <cell r="J198">
            <v>43</v>
          </cell>
          <cell r="K198">
            <v>76.333333333333343</v>
          </cell>
          <cell r="L198">
            <v>63</v>
          </cell>
          <cell r="M198">
            <v>83</v>
          </cell>
          <cell r="N198">
            <v>43</v>
          </cell>
          <cell r="O198">
            <v>111.33333333333334</v>
          </cell>
          <cell r="P198">
            <v>43</v>
          </cell>
          <cell r="Q198">
            <v>43</v>
          </cell>
          <cell r="R198">
            <v>63</v>
          </cell>
          <cell r="S198">
            <v>76.333333333333343</v>
          </cell>
          <cell r="T198">
            <v>43</v>
          </cell>
          <cell r="Y198">
            <v>852.86</v>
          </cell>
          <cell r="Z198">
            <v>1778</v>
          </cell>
        </row>
        <row r="207">
          <cell r="I207">
            <v>391.66666666666669</v>
          </cell>
          <cell r="J207">
            <v>391.66666666666669</v>
          </cell>
          <cell r="K207">
            <v>391.66666666666669</v>
          </cell>
          <cell r="L207">
            <v>391.66666666666669</v>
          </cell>
          <cell r="M207">
            <v>391.66666666666669</v>
          </cell>
          <cell r="N207">
            <v>391.66666666666669</v>
          </cell>
          <cell r="O207">
            <v>391.66666666666669</v>
          </cell>
          <cell r="P207">
            <v>391.66666666666669</v>
          </cell>
          <cell r="Q207">
            <v>391.66666666666669</v>
          </cell>
          <cell r="R207">
            <v>391.66666666666669</v>
          </cell>
          <cell r="S207">
            <v>391.66666666666669</v>
          </cell>
          <cell r="T207">
            <v>391.66666666666669</v>
          </cell>
          <cell r="Y207">
            <v>3684.65</v>
          </cell>
          <cell r="Z207">
            <v>5816</v>
          </cell>
        </row>
        <row r="215">
          <cell r="I215">
            <v>200</v>
          </cell>
          <cell r="J215">
            <v>0</v>
          </cell>
          <cell r="K215">
            <v>0</v>
          </cell>
          <cell r="L215">
            <v>0</v>
          </cell>
          <cell r="M215">
            <v>0</v>
          </cell>
          <cell r="N215">
            <v>0</v>
          </cell>
          <cell r="O215">
            <v>0</v>
          </cell>
          <cell r="P215">
            <v>0</v>
          </cell>
          <cell r="Q215">
            <v>0</v>
          </cell>
          <cell r="R215">
            <v>0</v>
          </cell>
          <cell r="S215">
            <v>0</v>
          </cell>
          <cell r="T215">
            <v>0</v>
          </cell>
          <cell r="Y215">
            <v>112.92</v>
          </cell>
          <cell r="Z215">
            <v>1750</v>
          </cell>
        </row>
        <row r="219">
          <cell r="I219">
            <v>0</v>
          </cell>
          <cell r="J219">
            <v>0</v>
          </cell>
          <cell r="K219">
            <v>0</v>
          </cell>
          <cell r="L219">
            <v>0</v>
          </cell>
          <cell r="M219">
            <v>0</v>
          </cell>
          <cell r="N219">
            <v>4000</v>
          </cell>
          <cell r="O219">
            <v>0</v>
          </cell>
          <cell r="P219">
            <v>0</v>
          </cell>
          <cell r="Q219">
            <v>0</v>
          </cell>
          <cell r="R219">
            <v>0</v>
          </cell>
          <cell r="S219">
            <v>0</v>
          </cell>
          <cell r="T219">
            <v>4000</v>
          </cell>
          <cell r="Y219">
            <v>3440.03</v>
          </cell>
          <cell r="Z219">
            <v>8000</v>
          </cell>
        </row>
        <row r="225">
          <cell r="I225">
            <v>438.9</v>
          </cell>
          <cell r="J225">
            <v>438.9</v>
          </cell>
          <cell r="K225">
            <v>438.9</v>
          </cell>
          <cell r="L225">
            <v>438.9</v>
          </cell>
          <cell r="M225">
            <v>438.9</v>
          </cell>
          <cell r="N225">
            <v>438.9</v>
          </cell>
          <cell r="O225">
            <v>438.9</v>
          </cell>
          <cell r="P225">
            <v>438.9</v>
          </cell>
          <cell r="Q225">
            <v>438.9</v>
          </cell>
          <cell r="R225">
            <v>438.9</v>
          </cell>
          <cell r="S225">
            <v>438.9</v>
          </cell>
          <cell r="T225">
            <v>438.9</v>
          </cell>
          <cell r="Y225">
            <v>3762</v>
          </cell>
          <cell r="Z225">
            <v>5092</v>
          </cell>
        </row>
        <row r="231">
          <cell r="I231">
            <v>1500</v>
          </cell>
          <cell r="J231">
            <v>1500</v>
          </cell>
          <cell r="K231">
            <v>1500</v>
          </cell>
          <cell r="L231">
            <v>1500</v>
          </cell>
          <cell r="M231">
            <v>1300</v>
          </cell>
          <cell r="N231">
            <v>1300</v>
          </cell>
          <cell r="O231">
            <v>1500</v>
          </cell>
          <cell r="P231">
            <v>1500</v>
          </cell>
          <cell r="Q231">
            <v>1500</v>
          </cell>
          <cell r="R231">
            <v>1500</v>
          </cell>
          <cell r="S231">
            <v>1500</v>
          </cell>
          <cell r="T231">
            <v>1500</v>
          </cell>
          <cell r="Y231">
            <v>13182</v>
          </cell>
          <cell r="Z231">
            <v>15000</v>
          </cell>
        </row>
        <row r="237">
          <cell r="I237">
            <v>2010</v>
          </cell>
          <cell r="J237">
            <v>2010</v>
          </cell>
          <cell r="K237">
            <v>2010</v>
          </cell>
          <cell r="L237">
            <v>2010</v>
          </cell>
          <cell r="M237">
            <v>2010</v>
          </cell>
          <cell r="N237">
            <v>2010</v>
          </cell>
          <cell r="O237">
            <v>2010</v>
          </cell>
          <cell r="P237">
            <v>2010</v>
          </cell>
          <cell r="Q237">
            <v>2010</v>
          </cell>
          <cell r="R237">
            <v>2010</v>
          </cell>
          <cell r="S237">
            <v>2010</v>
          </cell>
          <cell r="T237">
            <v>2010</v>
          </cell>
          <cell r="Y237">
            <v>18300.27</v>
          </cell>
          <cell r="Z237">
            <v>22062</v>
          </cell>
        </row>
        <row r="245">
          <cell r="I245">
            <v>176</v>
          </cell>
          <cell r="J245">
            <v>2926</v>
          </cell>
          <cell r="K245">
            <v>176</v>
          </cell>
          <cell r="L245">
            <v>176</v>
          </cell>
          <cell r="M245">
            <v>2926</v>
          </cell>
          <cell r="N245">
            <v>176</v>
          </cell>
          <cell r="O245">
            <v>176</v>
          </cell>
          <cell r="P245">
            <v>2926</v>
          </cell>
          <cell r="Q245">
            <v>176</v>
          </cell>
          <cell r="R245">
            <v>176</v>
          </cell>
          <cell r="S245">
            <v>2926</v>
          </cell>
          <cell r="T245">
            <v>176</v>
          </cell>
          <cell r="Y245">
            <v>11878.62</v>
          </cell>
          <cell r="Z245">
            <v>12750</v>
          </cell>
        </row>
        <row r="252">
          <cell r="I252">
            <v>912</v>
          </cell>
          <cell r="J252">
            <v>862</v>
          </cell>
          <cell r="K252">
            <v>862</v>
          </cell>
          <cell r="L252">
            <v>862</v>
          </cell>
          <cell r="M252">
            <v>862</v>
          </cell>
          <cell r="N252">
            <v>862</v>
          </cell>
          <cell r="O252">
            <v>1005</v>
          </cell>
          <cell r="P252">
            <v>862</v>
          </cell>
          <cell r="Q252">
            <v>862</v>
          </cell>
          <cell r="R252">
            <v>862</v>
          </cell>
          <cell r="S252">
            <v>862</v>
          </cell>
          <cell r="T252">
            <v>862</v>
          </cell>
          <cell r="Y252">
            <v>8700.4599999999991</v>
          </cell>
          <cell r="Z252">
            <v>15578.6</v>
          </cell>
        </row>
        <row r="263">
          <cell r="I263">
            <v>886.28</v>
          </cell>
          <cell r="J263">
            <v>886.28</v>
          </cell>
          <cell r="K263">
            <v>886.28</v>
          </cell>
          <cell r="L263">
            <v>886.28</v>
          </cell>
          <cell r="M263">
            <v>886.28</v>
          </cell>
          <cell r="N263">
            <v>886.28</v>
          </cell>
          <cell r="O263">
            <v>886.28</v>
          </cell>
          <cell r="P263">
            <v>886.28</v>
          </cell>
          <cell r="Q263">
            <v>886.28</v>
          </cell>
          <cell r="R263">
            <v>886.28</v>
          </cell>
          <cell r="S263">
            <v>886.28</v>
          </cell>
          <cell r="T263">
            <v>886.28</v>
          </cell>
          <cell r="Y263">
            <v>8862.7999999999993</v>
          </cell>
          <cell r="Z263">
            <v>10636</v>
          </cell>
        </row>
        <row r="269">
          <cell r="I269">
            <v>132</v>
          </cell>
          <cell r="J269">
            <v>210</v>
          </cell>
          <cell r="K269">
            <v>0</v>
          </cell>
          <cell r="L269">
            <v>0</v>
          </cell>
          <cell r="M269">
            <v>569</v>
          </cell>
          <cell r="N269">
            <v>0</v>
          </cell>
          <cell r="O269">
            <v>0</v>
          </cell>
          <cell r="P269">
            <v>175</v>
          </cell>
          <cell r="Q269">
            <v>0</v>
          </cell>
          <cell r="R269">
            <v>0</v>
          </cell>
          <cell r="S269">
            <v>250</v>
          </cell>
          <cell r="T269">
            <v>0</v>
          </cell>
          <cell r="Y269">
            <v>1123.79</v>
          </cell>
          <cell r="Z269">
            <v>740</v>
          </cell>
        </row>
        <row r="277">
          <cell r="I277">
            <v>2671.25</v>
          </cell>
          <cell r="J277">
            <v>0</v>
          </cell>
          <cell r="K277">
            <v>2671.25</v>
          </cell>
          <cell r="L277">
            <v>0</v>
          </cell>
          <cell r="M277">
            <v>0</v>
          </cell>
          <cell r="N277">
            <v>2671.25</v>
          </cell>
          <cell r="O277">
            <v>0</v>
          </cell>
          <cell r="P277">
            <v>0</v>
          </cell>
          <cell r="Q277">
            <v>1938.3750000000002</v>
          </cell>
          <cell r="R277">
            <v>0</v>
          </cell>
          <cell r="S277">
            <v>0</v>
          </cell>
          <cell r="T277">
            <v>0</v>
          </cell>
          <cell r="Y277">
            <v>7584.75</v>
          </cell>
          <cell r="Z277">
            <v>8515</v>
          </cell>
        </row>
        <row r="283">
          <cell r="I283">
            <v>1362.5</v>
          </cell>
          <cell r="J283">
            <v>1362.5</v>
          </cell>
          <cell r="K283">
            <v>1362.5</v>
          </cell>
          <cell r="L283">
            <v>1362.5</v>
          </cell>
          <cell r="M283">
            <v>1362.5</v>
          </cell>
          <cell r="N283">
            <v>1362.5</v>
          </cell>
          <cell r="O283">
            <v>1362.5</v>
          </cell>
          <cell r="P283">
            <v>1362.5</v>
          </cell>
          <cell r="Q283">
            <v>1362.5</v>
          </cell>
          <cell r="R283">
            <v>1362.5</v>
          </cell>
          <cell r="S283">
            <v>362.49999999999994</v>
          </cell>
          <cell r="T283">
            <v>1362.5</v>
          </cell>
          <cell r="Y283">
            <v>12091.29</v>
          </cell>
          <cell r="Z283">
            <v>14364</v>
          </cell>
        </row>
        <row r="290">
          <cell r="I290">
            <v>833.33333333333337</v>
          </cell>
          <cell r="J290">
            <v>1033.3333333333335</v>
          </cell>
          <cell r="K290">
            <v>833.33333333333337</v>
          </cell>
          <cell r="L290">
            <v>1033.3333333333335</v>
          </cell>
          <cell r="M290">
            <v>833.33333333333337</v>
          </cell>
          <cell r="N290">
            <v>1033.3333333333335</v>
          </cell>
          <cell r="O290">
            <v>833.33333333333337</v>
          </cell>
          <cell r="P290">
            <v>1033.3333333333335</v>
          </cell>
          <cell r="Q290">
            <v>833.33333333333337</v>
          </cell>
          <cell r="R290">
            <v>1033.3333333333335</v>
          </cell>
          <cell r="S290">
            <v>833.33333333333337</v>
          </cell>
          <cell r="T290">
            <v>833.33333333333337</v>
          </cell>
          <cell r="Y290">
            <v>14532.35</v>
          </cell>
          <cell r="Z290">
            <v>10225</v>
          </cell>
        </row>
        <row r="298">
          <cell r="I298">
            <v>666.66666666666663</v>
          </cell>
          <cell r="J298">
            <v>666.66666666666663</v>
          </cell>
          <cell r="K298">
            <v>666.66666666666663</v>
          </cell>
          <cell r="L298">
            <v>666.66666666666663</v>
          </cell>
          <cell r="M298">
            <v>666.66666666666663</v>
          </cell>
          <cell r="N298">
            <v>666.66666666666663</v>
          </cell>
          <cell r="O298">
            <v>666.66666666666663</v>
          </cell>
          <cell r="P298">
            <v>666.66666666666663</v>
          </cell>
          <cell r="Q298">
            <v>666.66666666666663</v>
          </cell>
          <cell r="R298">
            <v>666.66666666666663</v>
          </cell>
          <cell r="S298">
            <v>666.66666666666663</v>
          </cell>
          <cell r="T298">
            <v>666.66666666666663</v>
          </cell>
          <cell r="Y298">
            <v>11781.18</v>
          </cell>
          <cell r="Z298">
            <v>8000</v>
          </cell>
        </row>
        <row r="304">
          <cell r="I304">
            <v>28</v>
          </cell>
          <cell r="J304">
            <v>28</v>
          </cell>
          <cell r="K304">
            <v>28</v>
          </cell>
          <cell r="L304">
            <v>28</v>
          </cell>
          <cell r="M304">
            <v>28</v>
          </cell>
          <cell r="N304">
            <v>28</v>
          </cell>
          <cell r="O304">
            <v>28</v>
          </cell>
          <cell r="P304">
            <v>28</v>
          </cell>
          <cell r="Q304">
            <v>28</v>
          </cell>
          <cell r="R304">
            <v>28</v>
          </cell>
          <cell r="S304">
            <v>28</v>
          </cell>
          <cell r="T304">
            <v>28</v>
          </cell>
          <cell r="Y304">
            <v>183.73</v>
          </cell>
          <cell r="Z304">
            <v>198</v>
          </cell>
        </row>
        <row r="311">
          <cell r="I311">
            <v>0</v>
          </cell>
          <cell r="J311">
            <v>0</v>
          </cell>
          <cell r="K311">
            <v>0</v>
          </cell>
          <cell r="L311">
            <v>0</v>
          </cell>
          <cell r="M311">
            <v>0</v>
          </cell>
          <cell r="N311">
            <v>500</v>
          </cell>
          <cell r="O311">
            <v>0</v>
          </cell>
          <cell r="P311">
            <v>0</v>
          </cell>
          <cell r="Q311">
            <v>0</v>
          </cell>
          <cell r="R311">
            <v>0</v>
          </cell>
          <cell r="S311">
            <v>0</v>
          </cell>
          <cell r="T311">
            <v>500</v>
          </cell>
          <cell r="Y311">
            <v>993.25</v>
          </cell>
          <cell r="Z311">
            <v>800</v>
          </cell>
        </row>
        <row r="315">
          <cell r="I315">
            <v>6500</v>
          </cell>
          <cell r="J315">
            <v>6500</v>
          </cell>
          <cell r="K315">
            <v>6500</v>
          </cell>
          <cell r="L315">
            <v>6500</v>
          </cell>
          <cell r="M315">
            <v>6500</v>
          </cell>
          <cell r="N315">
            <v>6500</v>
          </cell>
          <cell r="O315">
            <v>6500</v>
          </cell>
          <cell r="P315">
            <v>6500</v>
          </cell>
          <cell r="Q315">
            <v>6500</v>
          </cell>
          <cell r="R315">
            <v>6500</v>
          </cell>
          <cell r="S315">
            <v>6500</v>
          </cell>
          <cell r="T315">
            <v>6500</v>
          </cell>
          <cell r="Y315">
            <v>58035.94</v>
          </cell>
          <cell r="Z315">
            <v>78000</v>
          </cell>
        </row>
        <row r="321">
          <cell r="I321">
            <v>765</v>
          </cell>
          <cell r="J321">
            <v>765</v>
          </cell>
          <cell r="K321">
            <v>8710</v>
          </cell>
          <cell r="L321">
            <v>765</v>
          </cell>
          <cell r="M321">
            <v>765</v>
          </cell>
          <cell r="N321">
            <v>3210</v>
          </cell>
          <cell r="O321">
            <v>765</v>
          </cell>
          <cell r="P321">
            <v>765</v>
          </cell>
          <cell r="Q321">
            <v>3210</v>
          </cell>
          <cell r="R321">
            <v>765</v>
          </cell>
          <cell r="S321">
            <v>765</v>
          </cell>
          <cell r="T321">
            <v>3210</v>
          </cell>
          <cell r="Y321">
            <v>12318.31</v>
          </cell>
          <cell r="Z321">
            <v>16390</v>
          </cell>
        </row>
        <row r="330">
          <cell r="I330">
            <v>400</v>
          </cell>
          <cell r="J330">
            <v>0</v>
          </cell>
          <cell r="K330">
            <v>1050</v>
          </cell>
          <cell r="L330">
            <v>0</v>
          </cell>
          <cell r="M330">
            <v>200</v>
          </cell>
          <cell r="N330">
            <v>1200</v>
          </cell>
          <cell r="O330">
            <v>100</v>
          </cell>
          <cell r="P330">
            <v>0</v>
          </cell>
          <cell r="Q330">
            <v>1050</v>
          </cell>
          <cell r="R330">
            <v>0</v>
          </cell>
          <cell r="S330">
            <v>0</v>
          </cell>
          <cell r="T330">
            <v>1100</v>
          </cell>
          <cell r="Y330">
            <v>1090.0899999999999</v>
          </cell>
          <cell r="Z330">
            <v>8970</v>
          </cell>
        </row>
        <row r="340">
          <cell r="I340">
            <v>599</v>
          </cell>
          <cell r="J340">
            <v>550</v>
          </cell>
          <cell r="K340">
            <v>835</v>
          </cell>
          <cell r="L340">
            <v>449</v>
          </cell>
          <cell r="M340">
            <v>300</v>
          </cell>
          <cell r="N340">
            <v>800</v>
          </cell>
          <cell r="O340">
            <v>300</v>
          </cell>
          <cell r="P340">
            <v>335</v>
          </cell>
          <cell r="Q340">
            <v>550</v>
          </cell>
          <cell r="R340">
            <v>300</v>
          </cell>
          <cell r="S340">
            <v>2250</v>
          </cell>
          <cell r="T340">
            <v>550</v>
          </cell>
          <cell r="Y340">
            <v>12376.8</v>
          </cell>
          <cell r="Z340">
            <v>22429.5</v>
          </cell>
        </row>
        <row r="350">
          <cell r="I350">
            <v>2803.16</v>
          </cell>
          <cell r="J350">
            <v>2878.48</v>
          </cell>
          <cell r="K350">
            <v>2860.65</v>
          </cell>
          <cell r="L350">
            <v>2751.05</v>
          </cell>
          <cell r="M350">
            <v>2824.43</v>
          </cell>
          <cell r="N350">
            <v>2715.86</v>
          </cell>
          <cell r="O350">
            <v>2787.93</v>
          </cell>
          <cell r="P350">
            <v>2769.75</v>
          </cell>
          <cell r="Q350">
            <v>2573.98</v>
          </cell>
          <cell r="R350">
            <v>2732.49</v>
          </cell>
          <cell r="S350">
            <v>2626.54</v>
          </cell>
          <cell r="T350">
            <v>2695.29</v>
          </cell>
          <cell r="Y350">
            <v>26757.78</v>
          </cell>
          <cell r="Z350">
            <v>35460</v>
          </cell>
        </row>
        <row r="357">
          <cell r="I357">
            <v>44.44</v>
          </cell>
          <cell r="J357">
            <v>44.44</v>
          </cell>
          <cell r="K357">
            <v>44.44</v>
          </cell>
          <cell r="L357">
            <v>44.44</v>
          </cell>
          <cell r="M357">
            <v>44.44</v>
          </cell>
          <cell r="N357">
            <v>44.44</v>
          </cell>
          <cell r="O357">
            <v>44.44</v>
          </cell>
          <cell r="P357">
            <v>44.44</v>
          </cell>
          <cell r="Q357">
            <v>44.44</v>
          </cell>
          <cell r="R357">
            <v>44.44</v>
          </cell>
          <cell r="S357">
            <v>44.44</v>
          </cell>
          <cell r="T357">
            <v>44.44</v>
          </cell>
          <cell r="Y357">
            <v>0</v>
          </cell>
          <cell r="Z357">
            <v>2797</v>
          </cell>
        </row>
        <row r="363">
          <cell r="I363">
            <v>858.33</v>
          </cell>
          <cell r="J363">
            <v>858.33</v>
          </cell>
          <cell r="K363">
            <v>858.33</v>
          </cell>
          <cell r="L363">
            <v>858.33</v>
          </cell>
          <cell r="M363">
            <v>858.33</v>
          </cell>
          <cell r="N363">
            <v>858.33</v>
          </cell>
          <cell r="O363">
            <v>858.33</v>
          </cell>
          <cell r="P363">
            <v>858.33</v>
          </cell>
          <cell r="Q363">
            <v>858.33</v>
          </cell>
          <cell r="R363">
            <v>858.33</v>
          </cell>
          <cell r="S363">
            <v>858.33</v>
          </cell>
          <cell r="T363">
            <v>858.33</v>
          </cell>
          <cell r="Y363">
            <v>6099.97</v>
          </cell>
          <cell r="Z363">
            <v>6400</v>
          </cell>
        </row>
        <row r="369">
          <cell r="I369">
            <v>268.3</v>
          </cell>
          <cell r="J369">
            <v>268.3</v>
          </cell>
          <cell r="K369">
            <v>268.3</v>
          </cell>
          <cell r="L369">
            <v>268.3</v>
          </cell>
          <cell r="M369">
            <v>268.3</v>
          </cell>
          <cell r="N369">
            <v>268.3</v>
          </cell>
          <cell r="O369">
            <v>268.3</v>
          </cell>
          <cell r="P369">
            <v>268.3</v>
          </cell>
          <cell r="Q369">
            <v>268.3</v>
          </cell>
          <cell r="R369">
            <v>268.3</v>
          </cell>
          <cell r="S369">
            <v>268.3</v>
          </cell>
          <cell r="T369">
            <v>268.3</v>
          </cell>
          <cell r="Y369">
            <v>2624.8</v>
          </cell>
          <cell r="Z369">
            <v>4571</v>
          </cell>
        </row>
        <row r="375">
          <cell r="I375">
            <v>29.62</v>
          </cell>
          <cell r="J375">
            <v>29.62</v>
          </cell>
          <cell r="K375">
            <v>29.62</v>
          </cell>
          <cell r="L375">
            <v>29.62</v>
          </cell>
          <cell r="M375">
            <v>29.62</v>
          </cell>
          <cell r="N375">
            <v>29.62</v>
          </cell>
          <cell r="O375">
            <v>29.62</v>
          </cell>
          <cell r="P375">
            <v>29.62</v>
          </cell>
          <cell r="Q375">
            <v>29.62</v>
          </cell>
          <cell r="R375">
            <v>29.62</v>
          </cell>
          <cell r="S375">
            <v>29.62</v>
          </cell>
          <cell r="T375">
            <v>29.62</v>
          </cell>
          <cell r="Y375">
            <v>266.58</v>
          </cell>
          <cell r="Z375">
            <v>356</v>
          </cell>
        </row>
        <row r="381">
          <cell r="I381">
            <v>699.97</v>
          </cell>
          <cell r="J381">
            <v>699.97</v>
          </cell>
          <cell r="K381">
            <v>699.97</v>
          </cell>
          <cell r="L381">
            <v>699.97</v>
          </cell>
          <cell r="M381">
            <v>699.97</v>
          </cell>
          <cell r="N381">
            <v>699.97</v>
          </cell>
          <cell r="O381">
            <v>699.97</v>
          </cell>
          <cell r="P381">
            <v>699.97</v>
          </cell>
          <cell r="Q381">
            <v>699.97</v>
          </cell>
          <cell r="R381">
            <v>699.97</v>
          </cell>
          <cell r="S381">
            <v>699.97</v>
          </cell>
          <cell r="T381">
            <v>699.97</v>
          </cell>
          <cell r="Y381">
            <v>6299.73</v>
          </cell>
          <cell r="Z381">
            <v>8400</v>
          </cell>
        </row>
        <row r="387">
          <cell r="I387">
            <v>4327.17</v>
          </cell>
          <cell r="J387">
            <v>4327.17</v>
          </cell>
          <cell r="K387">
            <v>4327.17</v>
          </cell>
          <cell r="L387">
            <v>4327.17</v>
          </cell>
          <cell r="M387">
            <v>4327.17</v>
          </cell>
          <cell r="N387">
            <v>4327.17</v>
          </cell>
          <cell r="O387">
            <v>4327.17</v>
          </cell>
          <cell r="P387">
            <v>4327.17</v>
          </cell>
          <cell r="Q387">
            <v>4327.17</v>
          </cell>
          <cell r="R387">
            <v>4327.17</v>
          </cell>
          <cell r="S387">
            <v>4327.17</v>
          </cell>
          <cell r="T387">
            <v>4327.17</v>
          </cell>
          <cell r="Y387">
            <v>38944.53</v>
          </cell>
          <cell r="Z387">
            <v>51989</v>
          </cell>
        </row>
        <row r="395">
          <cell r="I395">
            <v>296.66666666666669</v>
          </cell>
          <cell r="J395">
            <v>296.66666666666669</v>
          </cell>
          <cell r="K395">
            <v>326.66666666666669</v>
          </cell>
          <cell r="L395">
            <v>296.66666666666669</v>
          </cell>
          <cell r="M395">
            <v>296.66666666666669</v>
          </cell>
          <cell r="N395">
            <v>326.66666666666669</v>
          </cell>
          <cell r="O395">
            <v>296.66666666666669</v>
          </cell>
          <cell r="P395">
            <v>296.66666666666669</v>
          </cell>
          <cell r="Q395">
            <v>336.66666666666669</v>
          </cell>
          <cell r="R395">
            <v>296.66666666666669</v>
          </cell>
          <cell r="S395">
            <v>296.66666666666669</v>
          </cell>
          <cell r="T395">
            <v>296.66666666666669</v>
          </cell>
          <cell r="Y395">
            <v>3021.27</v>
          </cell>
          <cell r="Z395">
            <v>5860</v>
          </cell>
        </row>
        <row r="406">
          <cell r="I406">
            <v>6500</v>
          </cell>
          <cell r="J406">
            <v>6500</v>
          </cell>
          <cell r="K406">
            <v>6500</v>
          </cell>
          <cell r="L406">
            <v>6500</v>
          </cell>
          <cell r="M406">
            <v>6500</v>
          </cell>
          <cell r="N406">
            <v>6500</v>
          </cell>
          <cell r="O406">
            <v>6500</v>
          </cell>
          <cell r="P406">
            <v>6500</v>
          </cell>
          <cell r="Q406">
            <v>6500</v>
          </cell>
          <cell r="R406">
            <v>6500</v>
          </cell>
          <cell r="S406">
            <v>6500</v>
          </cell>
          <cell r="T406">
            <v>6500</v>
          </cell>
          <cell r="Y406">
            <v>47386.43</v>
          </cell>
          <cell r="Z406">
            <v>92400</v>
          </cell>
        </row>
        <row r="407">
          <cell r="I407">
            <v>2500</v>
          </cell>
          <cell r="J407">
            <v>2500</v>
          </cell>
          <cell r="K407">
            <v>2500</v>
          </cell>
          <cell r="L407">
            <v>2500</v>
          </cell>
          <cell r="M407">
            <v>2500</v>
          </cell>
          <cell r="N407">
            <v>2500</v>
          </cell>
          <cell r="O407">
            <v>2500</v>
          </cell>
          <cell r="P407">
            <v>2500</v>
          </cell>
          <cell r="Q407">
            <v>2500</v>
          </cell>
          <cell r="R407">
            <v>2500</v>
          </cell>
          <cell r="S407">
            <v>2500</v>
          </cell>
          <cell r="T407">
            <v>2500</v>
          </cell>
          <cell r="Y407">
            <v>16442.75</v>
          </cell>
          <cell r="Z407">
            <v>30000</v>
          </cell>
        </row>
        <row r="408">
          <cell r="I408">
            <v>20</v>
          </cell>
          <cell r="J408">
            <v>20</v>
          </cell>
          <cell r="K408">
            <v>20</v>
          </cell>
          <cell r="L408">
            <v>20</v>
          </cell>
          <cell r="M408">
            <v>20</v>
          </cell>
          <cell r="N408">
            <v>20</v>
          </cell>
          <cell r="O408">
            <v>20</v>
          </cell>
          <cell r="P408">
            <v>20</v>
          </cell>
          <cell r="Q408">
            <v>20</v>
          </cell>
          <cell r="R408">
            <v>20</v>
          </cell>
          <cell r="S408">
            <v>20</v>
          </cell>
          <cell r="T408">
            <v>20</v>
          </cell>
          <cell r="Y408">
            <v>-6.44</v>
          </cell>
          <cell r="Z408">
            <v>360</v>
          </cell>
        </row>
        <row r="412">
          <cell r="I412">
            <v>685</v>
          </cell>
          <cell r="J412">
            <v>0</v>
          </cell>
          <cell r="K412">
            <v>685</v>
          </cell>
          <cell r="L412">
            <v>0</v>
          </cell>
          <cell r="M412">
            <v>0</v>
          </cell>
          <cell r="N412">
            <v>685</v>
          </cell>
          <cell r="O412">
            <v>0</v>
          </cell>
          <cell r="P412">
            <v>0</v>
          </cell>
          <cell r="Q412">
            <v>754.00000000000011</v>
          </cell>
          <cell r="R412">
            <v>0</v>
          </cell>
          <cell r="S412">
            <v>0</v>
          </cell>
          <cell r="T412">
            <v>0</v>
          </cell>
          <cell r="Y412">
            <v>1990.07</v>
          </cell>
          <cell r="Z412">
            <v>2400.31</v>
          </cell>
        </row>
        <row r="414">
          <cell r="I414">
            <v>11262.1975</v>
          </cell>
          <cell r="J414">
            <v>11262.1975</v>
          </cell>
          <cell r="K414">
            <v>11262.1975</v>
          </cell>
          <cell r="L414">
            <v>11262.1975</v>
          </cell>
          <cell r="M414">
            <v>11262.1975</v>
          </cell>
          <cell r="N414">
            <v>11262.1975</v>
          </cell>
          <cell r="O414">
            <v>11262.1975</v>
          </cell>
          <cell r="P414">
            <v>11262.1975</v>
          </cell>
          <cell r="Q414">
            <v>11262.1975</v>
          </cell>
          <cell r="R414">
            <v>11262.1975</v>
          </cell>
          <cell r="S414">
            <v>11262.1975</v>
          </cell>
          <cell r="T414">
            <v>11262.1975</v>
          </cell>
          <cell r="Y414">
            <v>54271.68</v>
          </cell>
          <cell r="Z414">
            <v>235538</v>
          </cell>
        </row>
        <row r="415">
          <cell r="I415">
            <v>554.81583333333333</v>
          </cell>
          <cell r="J415">
            <v>554.81583333333333</v>
          </cell>
          <cell r="K415">
            <v>554.81583333333333</v>
          </cell>
          <cell r="L415">
            <v>554.81583333333333</v>
          </cell>
          <cell r="M415">
            <v>554.81583333333333</v>
          </cell>
          <cell r="N415">
            <v>554.81583333333333</v>
          </cell>
          <cell r="O415">
            <v>554.81583333333333</v>
          </cell>
          <cell r="P415">
            <v>554.81583333333333</v>
          </cell>
          <cell r="Q415">
            <v>554.81583333333333</v>
          </cell>
          <cell r="R415">
            <v>554.81583333333333</v>
          </cell>
          <cell r="S415">
            <v>554.81583333333333</v>
          </cell>
          <cell r="T415">
            <v>-20000</v>
          </cell>
          <cell r="Y415">
            <v>2387.9699999999998</v>
          </cell>
          <cell r="Z415">
            <v>7066</v>
          </cell>
        </row>
        <row r="416">
          <cell r="I416">
            <v>1222.4875</v>
          </cell>
          <cell r="J416">
            <v>1222.4875</v>
          </cell>
          <cell r="K416">
            <v>1222.4875</v>
          </cell>
          <cell r="L416">
            <v>1222.4875</v>
          </cell>
          <cell r="M416">
            <v>1222.4875</v>
          </cell>
          <cell r="N416">
            <v>1222.4875</v>
          </cell>
          <cell r="O416">
            <v>1222.4875</v>
          </cell>
          <cell r="P416">
            <v>1222.4875</v>
          </cell>
          <cell r="Q416">
            <v>1222.4875</v>
          </cell>
          <cell r="R416">
            <v>1222.4875</v>
          </cell>
          <cell r="S416">
            <v>1222.4875</v>
          </cell>
          <cell r="T416">
            <v>1222.4875</v>
          </cell>
          <cell r="Y416">
            <v>8210.9599999999991</v>
          </cell>
          <cell r="Z416">
            <v>29820</v>
          </cell>
        </row>
        <row r="417">
          <cell r="I417">
            <v>810</v>
          </cell>
          <cell r="J417">
            <v>810</v>
          </cell>
          <cell r="K417">
            <v>810</v>
          </cell>
          <cell r="L417">
            <v>810</v>
          </cell>
          <cell r="M417">
            <v>810</v>
          </cell>
          <cell r="N417">
            <v>810</v>
          </cell>
          <cell r="O417">
            <v>0</v>
          </cell>
          <cell r="P417">
            <v>0</v>
          </cell>
          <cell r="Q417">
            <v>0</v>
          </cell>
          <cell r="R417">
            <v>891</v>
          </cell>
          <cell r="S417">
            <v>891</v>
          </cell>
          <cell r="T417">
            <v>891</v>
          </cell>
          <cell r="Y417">
            <v>3667.18</v>
          </cell>
          <cell r="Z417">
            <v>4595.55</v>
          </cell>
        </row>
        <row r="419">
          <cell r="I419">
            <v>0</v>
          </cell>
          <cell r="J419">
            <v>0</v>
          </cell>
          <cell r="K419">
            <v>12150</v>
          </cell>
          <cell r="L419">
            <v>0</v>
          </cell>
          <cell r="M419">
            <v>1950</v>
          </cell>
          <cell r="N419">
            <v>0</v>
          </cell>
          <cell r="O419">
            <v>0</v>
          </cell>
          <cell r="P419">
            <v>0</v>
          </cell>
          <cell r="Q419">
            <v>0</v>
          </cell>
          <cell r="R419">
            <v>0</v>
          </cell>
          <cell r="S419">
            <v>0</v>
          </cell>
          <cell r="T419">
            <v>0</v>
          </cell>
          <cell r="U419">
            <v>14100</v>
          </cell>
          <cell r="Y419">
            <v>13700</v>
          </cell>
          <cell r="Z419">
            <v>12000</v>
          </cell>
        </row>
        <row r="420">
          <cell r="I420">
            <v>2146.25</v>
          </cell>
          <cell r="J420">
            <v>0</v>
          </cell>
          <cell r="K420">
            <v>0</v>
          </cell>
          <cell r="L420">
            <v>0</v>
          </cell>
          <cell r="M420">
            <v>239.25</v>
          </cell>
          <cell r="N420">
            <v>650</v>
          </cell>
          <cell r="O420">
            <v>130</v>
          </cell>
          <cell r="P420">
            <v>0</v>
          </cell>
          <cell r="Q420">
            <v>0</v>
          </cell>
          <cell r="R420">
            <v>0</v>
          </cell>
          <cell r="S420">
            <v>0</v>
          </cell>
          <cell r="T420">
            <v>10000</v>
          </cell>
          <cell r="Y420">
            <v>3516.5</v>
          </cell>
          <cell r="Z420">
            <v>2886.95</v>
          </cell>
        </row>
        <row r="421">
          <cell r="I421">
            <v>0</v>
          </cell>
          <cell r="J421">
            <v>0</v>
          </cell>
          <cell r="K421">
            <v>0</v>
          </cell>
          <cell r="L421">
            <v>0</v>
          </cell>
          <cell r="M421">
            <v>0</v>
          </cell>
          <cell r="N421">
            <v>0</v>
          </cell>
          <cell r="O421">
            <v>0</v>
          </cell>
          <cell r="P421">
            <v>0</v>
          </cell>
          <cell r="Q421">
            <v>0</v>
          </cell>
          <cell r="R421">
            <v>0</v>
          </cell>
          <cell r="S421">
            <v>0</v>
          </cell>
          <cell r="T421">
            <v>1000</v>
          </cell>
          <cell r="Y421">
            <v>5462.28</v>
          </cell>
          <cell r="Z421">
            <v>500</v>
          </cell>
        </row>
        <row r="422">
          <cell r="I422">
            <v>55</v>
          </cell>
          <cell r="J422">
            <v>55</v>
          </cell>
          <cell r="K422">
            <v>90</v>
          </cell>
          <cell r="L422">
            <v>55</v>
          </cell>
          <cell r="M422">
            <v>55</v>
          </cell>
          <cell r="N422">
            <v>90</v>
          </cell>
          <cell r="O422">
            <v>55</v>
          </cell>
          <cell r="P422">
            <v>55</v>
          </cell>
          <cell r="Q422">
            <v>90</v>
          </cell>
          <cell r="R422">
            <v>55</v>
          </cell>
          <cell r="S422">
            <v>55</v>
          </cell>
          <cell r="T422">
            <v>90</v>
          </cell>
          <cell r="Y422">
            <v>636.62</v>
          </cell>
          <cell r="Z422">
            <v>1200</v>
          </cell>
        </row>
        <row r="423">
          <cell r="I423">
            <v>200</v>
          </cell>
          <cell r="J423">
            <v>0</v>
          </cell>
          <cell r="K423">
            <v>0</v>
          </cell>
          <cell r="L423">
            <v>200</v>
          </cell>
          <cell r="M423">
            <v>0</v>
          </cell>
          <cell r="N423">
            <v>186</v>
          </cell>
          <cell r="O423">
            <v>200</v>
          </cell>
          <cell r="P423">
            <v>0</v>
          </cell>
          <cell r="Q423">
            <v>0</v>
          </cell>
          <cell r="R423">
            <v>200</v>
          </cell>
          <cell r="S423">
            <v>-1000</v>
          </cell>
          <cell r="T423">
            <v>200</v>
          </cell>
          <cell r="Y423">
            <v>1023.73</v>
          </cell>
          <cell r="Z423">
            <v>1304.92</v>
          </cell>
        </row>
        <row r="424">
          <cell r="I424">
            <v>308.91666666666669</v>
          </cell>
          <cell r="J424">
            <v>308.91666666666669</v>
          </cell>
          <cell r="K424">
            <v>308.91666666666669</v>
          </cell>
          <cell r="L424">
            <v>308.91666666666669</v>
          </cell>
          <cell r="M424">
            <v>308.91666666666669</v>
          </cell>
          <cell r="N424">
            <v>308.91666666666669</v>
          </cell>
          <cell r="O424">
            <v>308.91666666666669</v>
          </cell>
          <cell r="P424">
            <v>308.91666666666669</v>
          </cell>
          <cell r="Q424">
            <v>308.91666666666669</v>
          </cell>
          <cell r="R424">
            <v>308.91666666666669</v>
          </cell>
          <cell r="S424">
            <v>-191.08333333333331</v>
          </cell>
          <cell r="T424">
            <v>318.91666666666669</v>
          </cell>
          <cell r="Y424">
            <v>436.1</v>
          </cell>
          <cell r="Z424">
            <v>630.58000000000004</v>
          </cell>
        </row>
        <row r="425">
          <cell r="I425">
            <v>310</v>
          </cell>
          <cell r="J425">
            <v>310</v>
          </cell>
          <cell r="K425">
            <v>310</v>
          </cell>
          <cell r="L425">
            <v>310</v>
          </cell>
          <cell r="M425">
            <v>310</v>
          </cell>
          <cell r="N425">
            <v>310</v>
          </cell>
          <cell r="O425">
            <v>310</v>
          </cell>
          <cell r="P425">
            <v>310</v>
          </cell>
          <cell r="Q425">
            <v>310</v>
          </cell>
          <cell r="R425">
            <v>310</v>
          </cell>
          <cell r="S425">
            <v>-690</v>
          </cell>
          <cell r="T425">
            <v>310</v>
          </cell>
          <cell r="Y425">
            <v>1913.95</v>
          </cell>
          <cell r="Z425">
            <v>2578</v>
          </cell>
        </row>
        <row r="426">
          <cell r="I426">
            <v>66</v>
          </cell>
          <cell r="J426">
            <v>66</v>
          </cell>
          <cell r="K426">
            <v>66</v>
          </cell>
          <cell r="L426">
            <v>66</v>
          </cell>
          <cell r="M426">
            <v>66</v>
          </cell>
          <cell r="N426">
            <v>66</v>
          </cell>
          <cell r="O426">
            <v>66</v>
          </cell>
          <cell r="P426">
            <v>66</v>
          </cell>
          <cell r="Q426">
            <v>66</v>
          </cell>
          <cell r="R426">
            <v>66</v>
          </cell>
          <cell r="S426">
            <v>66</v>
          </cell>
          <cell r="T426">
            <v>66</v>
          </cell>
          <cell r="Y426">
            <v>731.59</v>
          </cell>
          <cell r="Z426">
            <v>916</v>
          </cell>
        </row>
        <row r="427">
          <cell r="I427">
            <v>54.166666666666664</v>
          </cell>
          <cell r="J427">
            <v>54.166666666666664</v>
          </cell>
          <cell r="K427">
            <v>54.166666666666664</v>
          </cell>
          <cell r="L427">
            <v>54.166666666666664</v>
          </cell>
          <cell r="M427">
            <v>54.166666666666664</v>
          </cell>
          <cell r="N427">
            <v>54.166666666666664</v>
          </cell>
          <cell r="O427">
            <v>54.166666666666664</v>
          </cell>
          <cell r="P427">
            <v>54.166666666666664</v>
          </cell>
          <cell r="Q427">
            <v>54.166666666666664</v>
          </cell>
          <cell r="R427">
            <v>54.166666666666664</v>
          </cell>
          <cell r="S427">
            <v>54.166666666666664</v>
          </cell>
          <cell r="T427">
            <v>54.166666666666664</v>
          </cell>
          <cell r="Y427">
            <v>669.33</v>
          </cell>
          <cell r="Z427">
            <v>952</v>
          </cell>
        </row>
        <row r="428">
          <cell r="I428">
            <v>0</v>
          </cell>
          <cell r="J428">
            <v>0</v>
          </cell>
          <cell r="K428">
            <v>25</v>
          </cell>
          <cell r="L428">
            <v>500</v>
          </cell>
          <cell r="M428">
            <v>0</v>
          </cell>
          <cell r="N428">
            <v>25</v>
          </cell>
          <cell r="O428">
            <v>0</v>
          </cell>
          <cell r="P428">
            <v>0</v>
          </cell>
          <cell r="Q428">
            <v>25</v>
          </cell>
          <cell r="R428">
            <v>0</v>
          </cell>
          <cell r="S428">
            <v>25</v>
          </cell>
          <cell r="T428">
            <v>400</v>
          </cell>
          <cell r="Y428">
            <v>419.81</v>
          </cell>
          <cell r="Z428">
            <v>2000</v>
          </cell>
        </row>
        <row r="430">
          <cell r="I430">
            <v>731.5</v>
          </cell>
          <cell r="J430">
            <v>731.5</v>
          </cell>
          <cell r="K430">
            <v>731.5</v>
          </cell>
          <cell r="L430">
            <v>731.5</v>
          </cell>
          <cell r="M430">
            <v>731.5</v>
          </cell>
          <cell r="N430">
            <v>731.5</v>
          </cell>
          <cell r="O430">
            <v>731.5</v>
          </cell>
          <cell r="P430">
            <v>731.5</v>
          </cell>
          <cell r="Q430">
            <v>731.5</v>
          </cell>
          <cell r="R430">
            <v>731.5</v>
          </cell>
          <cell r="S430">
            <v>731.5</v>
          </cell>
          <cell r="T430">
            <v>731.5</v>
          </cell>
          <cell r="Y430">
            <v>5728.5</v>
          </cell>
          <cell r="Z430">
            <v>7600</v>
          </cell>
        </row>
        <row r="431">
          <cell r="I431">
            <v>180</v>
          </cell>
          <cell r="J431">
            <v>180</v>
          </cell>
          <cell r="K431">
            <v>180</v>
          </cell>
          <cell r="L431">
            <v>180</v>
          </cell>
          <cell r="M431">
            <v>180</v>
          </cell>
          <cell r="N431">
            <v>180</v>
          </cell>
          <cell r="O431">
            <v>180</v>
          </cell>
          <cell r="P431">
            <v>180</v>
          </cell>
          <cell r="Q431">
            <v>180</v>
          </cell>
          <cell r="R431">
            <v>180</v>
          </cell>
          <cell r="S431">
            <v>180</v>
          </cell>
          <cell r="T431">
            <v>180</v>
          </cell>
          <cell r="Y431">
            <v>1277.97</v>
          </cell>
          <cell r="Z431">
            <v>1452</v>
          </cell>
        </row>
        <row r="432">
          <cell r="I432">
            <v>93</v>
          </cell>
          <cell r="J432">
            <v>93</v>
          </cell>
          <cell r="K432">
            <v>93</v>
          </cell>
          <cell r="L432">
            <v>93</v>
          </cell>
          <cell r="M432">
            <v>93</v>
          </cell>
          <cell r="N432">
            <v>93</v>
          </cell>
          <cell r="O432">
            <v>248</v>
          </cell>
          <cell r="P432">
            <v>93</v>
          </cell>
          <cell r="Q432">
            <v>93</v>
          </cell>
          <cell r="R432">
            <v>93</v>
          </cell>
          <cell r="S432">
            <v>93</v>
          </cell>
          <cell r="T432">
            <v>93</v>
          </cell>
          <cell r="Y432">
            <v>942.21</v>
          </cell>
          <cell r="Z432">
            <v>1030.2</v>
          </cell>
        </row>
        <row r="435">
          <cell r="I435">
            <v>47</v>
          </cell>
          <cell r="J435">
            <v>47</v>
          </cell>
          <cell r="K435">
            <v>47</v>
          </cell>
          <cell r="L435">
            <v>47</v>
          </cell>
          <cell r="M435">
            <v>47</v>
          </cell>
          <cell r="N435">
            <v>47</v>
          </cell>
          <cell r="O435">
            <v>47</v>
          </cell>
          <cell r="P435">
            <v>47</v>
          </cell>
          <cell r="Q435">
            <v>47</v>
          </cell>
          <cell r="R435">
            <v>47</v>
          </cell>
          <cell r="S435">
            <v>47</v>
          </cell>
          <cell r="T435">
            <v>47</v>
          </cell>
          <cell r="Y435">
            <v>275.61</v>
          </cell>
          <cell r="Z435">
            <v>306</v>
          </cell>
        </row>
        <row r="437">
          <cell r="I437">
            <v>0</v>
          </cell>
          <cell r="J437">
            <v>0</v>
          </cell>
          <cell r="K437">
            <v>0</v>
          </cell>
          <cell r="L437">
            <v>0</v>
          </cell>
          <cell r="M437">
            <v>0</v>
          </cell>
          <cell r="N437">
            <v>100</v>
          </cell>
          <cell r="O437">
            <v>0</v>
          </cell>
          <cell r="P437">
            <v>0</v>
          </cell>
          <cell r="Q437">
            <v>0</v>
          </cell>
          <cell r="R437">
            <v>0</v>
          </cell>
          <cell r="S437">
            <v>100</v>
          </cell>
          <cell r="T437">
            <v>0</v>
          </cell>
          <cell r="Y437">
            <v>253.35</v>
          </cell>
          <cell r="Z437">
            <v>605</v>
          </cell>
        </row>
        <row r="438">
          <cell r="I438">
            <v>476</v>
          </cell>
          <cell r="J438">
            <v>476</v>
          </cell>
          <cell r="K438">
            <v>756</v>
          </cell>
          <cell r="L438">
            <v>476</v>
          </cell>
          <cell r="M438">
            <v>476</v>
          </cell>
          <cell r="N438">
            <v>756</v>
          </cell>
          <cell r="O438">
            <v>476</v>
          </cell>
          <cell r="P438">
            <v>476</v>
          </cell>
          <cell r="Q438">
            <v>756</v>
          </cell>
          <cell r="R438">
            <v>476</v>
          </cell>
          <cell r="S438">
            <v>476</v>
          </cell>
          <cell r="T438">
            <v>756</v>
          </cell>
          <cell r="Y438">
            <v>4773.84</v>
          </cell>
          <cell r="Z438">
            <v>5986</v>
          </cell>
        </row>
        <row r="439">
          <cell r="I439">
            <v>250</v>
          </cell>
          <cell r="J439">
            <v>0</v>
          </cell>
          <cell r="K439">
            <v>250</v>
          </cell>
          <cell r="L439">
            <v>0</v>
          </cell>
          <cell r="M439">
            <v>250</v>
          </cell>
          <cell r="N439">
            <v>0</v>
          </cell>
          <cell r="O439">
            <v>250</v>
          </cell>
          <cell r="P439">
            <v>0</v>
          </cell>
          <cell r="Q439">
            <v>250</v>
          </cell>
          <cell r="R439">
            <v>0</v>
          </cell>
          <cell r="S439">
            <v>2332</v>
          </cell>
          <cell r="T439">
            <v>0</v>
          </cell>
          <cell r="Y439">
            <v>1209.52</v>
          </cell>
          <cell r="Z439">
            <v>3289.66</v>
          </cell>
        </row>
        <row r="440">
          <cell r="I440">
            <v>0</v>
          </cell>
          <cell r="J440">
            <v>0</v>
          </cell>
          <cell r="K440">
            <v>0</v>
          </cell>
          <cell r="L440">
            <v>0</v>
          </cell>
          <cell r="M440">
            <v>0</v>
          </cell>
          <cell r="N440">
            <v>0</v>
          </cell>
          <cell r="O440">
            <v>0</v>
          </cell>
          <cell r="P440">
            <v>0</v>
          </cell>
          <cell r="Q440">
            <v>0</v>
          </cell>
          <cell r="R440">
            <v>0</v>
          </cell>
          <cell r="S440">
            <v>0</v>
          </cell>
          <cell r="T440">
            <v>500</v>
          </cell>
          <cell r="Y440">
            <v>0</v>
          </cell>
          <cell r="Z440">
            <v>0</v>
          </cell>
        </row>
        <row r="442">
          <cell r="I442">
            <v>125</v>
          </cell>
          <cell r="J442">
            <v>125</v>
          </cell>
          <cell r="K442">
            <v>125</v>
          </cell>
          <cell r="L442">
            <v>125</v>
          </cell>
          <cell r="M442">
            <v>125</v>
          </cell>
          <cell r="N442">
            <v>125</v>
          </cell>
          <cell r="O442">
            <v>125</v>
          </cell>
          <cell r="P442">
            <v>125</v>
          </cell>
          <cell r="Q442">
            <v>125</v>
          </cell>
          <cell r="R442">
            <v>125</v>
          </cell>
          <cell r="S442">
            <v>-500</v>
          </cell>
          <cell r="T442">
            <v>155</v>
          </cell>
          <cell r="Y442">
            <v>1060.55</v>
          </cell>
          <cell r="Z442">
            <v>825</v>
          </cell>
        </row>
        <row r="446">
          <cell r="I446">
            <v>685</v>
          </cell>
          <cell r="J446">
            <v>0</v>
          </cell>
          <cell r="K446">
            <v>685</v>
          </cell>
          <cell r="L446">
            <v>0</v>
          </cell>
          <cell r="M446">
            <v>0</v>
          </cell>
          <cell r="N446">
            <v>685</v>
          </cell>
          <cell r="O446">
            <v>0</v>
          </cell>
          <cell r="P446">
            <v>0</v>
          </cell>
          <cell r="Q446">
            <v>754.00000000000011</v>
          </cell>
          <cell r="R446">
            <v>0</v>
          </cell>
          <cell r="S446">
            <v>0</v>
          </cell>
          <cell r="T446">
            <v>0</v>
          </cell>
          <cell r="Y446">
            <v>2532.83</v>
          </cell>
          <cell r="Z446">
            <v>3054.94</v>
          </cell>
        </row>
        <row r="448">
          <cell r="I448">
            <v>23613.841666666664</v>
          </cell>
          <cell r="J448">
            <v>23613.841666666664</v>
          </cell>
          <cell r="K448">
            <v>23613.841666666664</v>
          </cell>
          <cell r="L448">
            <v>23613.841666666664</v>
          </cell>
          <cell r="M448">
            <v>23613.841666666664</v>
          </cell>
          <cell r="N448">
            <v>23613.841666666664</v>
          </cell>
          <cell r="O448">
            <v>23613.841666666664</v>
          </cell>
          <cell r="P448">
            <v>23613.841666666664</v>
          </cell>
          <cell r="Q448">
            <v>23613.841666666664</v>
          </cell>
          <cell r="R448">
            <v>23613.841666666664</v>
          </cell>
          <cell r="S448">
            <v>23613.841666666664</v>
          </cell>
          <cell r="T448">
            <v>23613.841666666664</v>
          </cell>
          <cell r="Y448">
            <v>151077.63</v>
          </cell>
          <cell r="Z448">
            <v>208221</v>
          </cell>
        </row>
        <row r="449">
          <cell r="I449">
            <v>934.09541666666667</v>
          </cell>
          <cell r="J449">
            <v>934.09541666666667</v>
          </cell>
          <cell r="K449">
            <v>934.09541666666667</v>
          </cell>
          <cell r="L449">
            <v>934.09541666666667</v>
          </cell>
          <cell r="M449">
            <v>934.09541666666667</v>
          </cell>
          <cell r="N449">
            <v>934.09541666666667</v>
          </cell>
          <cell r="O449">
            <v>934.09541666666667</v>
          </cell>
          <cell r="P449">
            <v>934.09541666666667</v>
          </cell>
          <cell r="Q449">
            <v>934.09541666666667</v>
          </cell>
          <cell r="R449">
            <v>934.09541666666667</v>
          </cell>
          <cell r="S449">
            <v>934.09541666666667</v>
          </cell>
          <cell r="T449">
            <v>934.09541666666667</v>
          </cell>
          <cell r="Y449">
            <v>3956.17</v>
          </cell>
          <cell r="Z449">
            <v>6247</v>
          </cell>
        </row>
        <row r="450">
          <cell r="I450">
            <v>2877.7791666666667</v>
          </cell>
          <cell r="J450">
            <v>2877.7791666666667</v>
          </cell>
          <cell r="K450">
            <v>2877.7791666666667</v>
          </cell>
          <cell r="L450">
            <v>2877.7791666666667</v>
          </cell>
          <cell r="M450">
            <v>2877.7791666666667</v>
          </cell>
          <cell r="N450">
            <v>2877.7791666666667</v>
          </cell>
          <cell r="O450">
            <v>2877.7791666666667</v>
          </cell>
          <cell r="P450">
            <v>2877.7791666666667</v>
          </cell>
          <cell r="Q450">
            <v>2877.7791666666667</v>
          </cell>
          <cell r="R450">
            <v>2877.7791666666667</v>
          </cell>
          <cell r="S450">
            <v>2877.7791666666667</v>
          </cell>
          <cell r="T450">
            <v>2877.7791666666667</v>
          </cell>
          <cell r="Y450">
            <v>14659.15</v>
          </cell>
          <cell r="Z450">
            <v>34423</v>
          </cell>
        </row>
        <row r="451">
          <cell r="I451">
            <v>700</v>
          </cell>
          <cell r="J451">
            <v>700</v>
          </cell>
          <cell r="K451">
            <v>700</v>
          </cell>
          <cell r="L451">
            <v>700</v>
          </cell>
          <cell r="M451">
            <v>700</v>
          </cell>
          <cell r="N451">
            <v>700</v>
          </cell>
          <cell r="O451">
            <v>700</v>
          </cell>
          <cell r="P451">
            <v>700</v>
          </cell>
          <cell r="Q451">
            <v>700</v>
          </cell>
          <cell r="R451">
            <v>700</v>
          </cell>
          <cell r="S451">
            <v>700</v>
          </cell>
          <cell r="T451">
            <v>700</v>
          </cell>
          <cell r="Y451">
            <v>4917.5</v>
          </cell>
          <cell r="Z451">
            <v>11520</v>
          </cell>
        </row>
        <row r="452">
          <cell r="I452">
            <v>833.33333333333337</v>
          </cell>
          <cell r="J452">
            <v>833.33333333333337</v>
          </cell>
          <cell r="K452">
            <v>833.33333333333337</v>
          </cell>
          <cell r="L452">
            <v>833.33333333333337</v>
          </cell>
          <cell r="M452">
            <v>833.33333333333337</v>
          </cell>
          <cell r="N452">
            <v>833.33333333333337</v>
          </cell>
          <cell r="O452">
            <v>833.33333333333337</v>
          </cell>
          <cell r="P452">
            <v>833.33333333333337</v>
          </cell>
          <cell r="Q452">
            <v>833.33333333333337</v>
          </cell>
          <cell r="R452">
            <v>833.33333333333337</v>
          </cell>
          <cell r="S452">
            <v>833.33333333333337</v>
          </cell>
          <cell r="T452">
            <v>833.33333333333337</v>
          </cell>
        </row>
        <row r="453">
          <cell r="I453">
            <v>810</v>
          </cell>
          <cell r="J453">
            <v>810</v>
          </cell>
          <cell r="K453">
            <v>810</v>
          </cell>
          <cell r="L453">
            <v>810</v>
          </cell>
          <cell r="M453">
            <v>810</v>
          </cell>
          <cell r="N453">
            <v>810</v>
          </cell>
          <cell r="O453">
            <v>0</v>
          </cell>
          <cell r="P453">
            <v>0</v>
          </cell>
          <cell r="Q453">
            <v>0</v>
          </cell>
          <cell r="R453">
            <v>891</v>
          </cell>
          <cell r="S453">
            <v>891</v>
          </cell>
          <cell r="T453">
            <v>891</v>
          </cell>
          <cell r="Y453">
            <v>4667.32</v>
          </cell>
          <cell r="Z453">
            <v>5848.08</v>
          </cell>
        </row>
        <row r="455">
          <cell r="I455">
            <v>1000</v>
          </cell>
          <cell r="J455">
            <v>325</v>
          </cell>
          <cell r="K455">
            <v>200</v>
          </cell>
          <cell r="L455">
            <v>1850</v>
          </cell>
          <cell r="M455">
            <v>495</v>
          </cell>
          <cell r="N455">
            <v>100</v>
          </cell>
          <cell r="O455">
            <v>500</v>
          </cell>
          <cell r="P455">
            <v>300</v>
          </cell>
          <cell r="Q455">
            <v>325</v>
          </cell>
          <cell r="R455">
            <v>1850</v>
          </cell>
          <cell r="S455">
            <v>300</v>
          </cell>
          <cell r="T455">
            <v>11350</v>
          </cell>
          <cell r="Y455">
            <v>3984.69</v>
          </cell>
          <cell r="Z455">
            <v>6607</v>
          </cell>
        </row>
        <row r="456">
          <cell r="I456">
            <v>2646.25</v>
          </cell>
          <cell r="J456">
            <v>221</v>
          </cell>
          <cell r="K456">
            <v>1</v>
          </cell>
          <cell r="L456">
            <v>500</v>
          </cell>
          <cell r="M456">
            <v>240.25</v>
          </cell>
          <cell r="N456">
            <v>651</v>
          </cell>
          <cell r="O456">
            <v>131</v>
          </cell>
          <cell r="P456">
            <v>1</v>
          </cell>
          <cell r="Q456">
            <v>1</v>
          </cell>
          <cell r="R456">
            <v>1</v>
          </cell>
          <cell r="S456">
            <v>1</v>
          </cell>
          <cell r="T456">
            <v>1</v>
          </cell>
          <cell r="Y456">
            <v>5276.35</v>
          </cell>
          <cell r="Z456">
            <v>3674.3</v>
          </cell>
        </row>
        <row r="459">
          <cell r="I459">
            <v>561</v>
          </cell>
          <cell r="J459">
            <v>561</v>
          </cell>
          <cell r="K459">
            <v>561</v>
          </cell>
          <cell r="L459">
            <v>561</v>
          </cell>
          <cell r="M459">
            <v>561</v>
          </cell>
          <cell r="N459">
            <v>561</v>
          </cell>
          <cell r="O459">
            <v>561</v>
          </cell>
          <cell r="P459">
            <v>561</v>
          </cell>
          <cell r="Q459">
            <v>561</v>
          </cell>
          <cell r="R459">
            <v>561</v>
          </cell>
          <cell r="S459">
            <v>561</v>
          </cell>
          <cell r="T459">
            <v>561</v>
          </cell>
          <cell r="Y459">
            <v>5011.82</v>
          </cell>
          <cell r="Z459">
            <v>9500</v>
          </cell>
        </row>
        <row r="463">
          <cell r="I463">
            <v>1029</v>
          </cell>
          <cell r="J463">
            <v>225</v>
          </cell>
          <cell r="K463">
            <v>0</v>
          </cell>
          <cell r="L463">
            <v>179</v>
          </cell>
          <cell r="M463">
            <v>0</v>
          </cell>
          <cell r="N463">
            <v>186</v>
          </cell>
          <cell r="O463">
            <v>179</v>
          </cell>
          <cell r="P463">
            <v>0</v>
          </cell>
          <cell r="Q463">
            <v>0</v>
          </cell>
          <cell r="R463">
            <v>179</v>
          </cell>
          <cell r="S463">
            <v>0</v>
          </cell>
          <cell r="T463">
            <v>70</v>
          </cell>
          <cell r="Y463">
            <v>1225.6199999999999</v>
          </cell>
          <cell r="Z463">
            <v>1688.72</v>
          </cell>
        </row>
        <row r="467">
          <cell r="I467">
            <v>123</v>
          </cell>
          <cell r="J467">
            <v>58</v>
          </cell>
          <cell r="K467">
            <v>58</v>
          </cell>
          <cell r="L467">
            <v>58</v>
          </cell>
          <cell r="M467">
            <v>58</v>
          </cell>
          <cell r="N467">
            <v>104</v>
          </cell>
          <cell r="O467">
            <v>58</v>
          </cell>
          <cell r="P467">
            <v>58</v>
          </cell>
          <cell r="Q467">
            <v>58</v>
          </cell>
          <cell r="R467">
            <v>58</v>
          </cell>
          <cell r="S467">
            <v>58</v>
          </cell>
          <cell r="T467">
            <v>58</v>
          </cell>
          <cell r="Y467">
            <v>555.04999999999995</v>
          </cell>
          <cell r="Z467">
            <v>802.48</v>
          </cell>
        </row>
        <row r="468">
          <cell r="I468">
            <v>350</v>
          </cell>
          <cell r="J468">
            <v>350</v>
          </cell>
          <cell r="K468">
            <v>350</v>
          </cell>
          <cell r="L468">
            <v>350</v>
          </cell>
          <cell r="M468">
            <v>350</v>
          </cell>
          <cell r="N468">
            <v>350</v>
          </cell>
          <cell r="O468">
            <v>350</v>
          </cell>
          <cell r="P468">
            <v>350</v>
          </cell>
          <cell r="Q468">
            <v>350</v>
          </cell>
          <cell r="R468">
            <v>350</v>
          </cell>
          <cell r="S468">
            <v>350</v>
          </cell>
          <cell r="T468">
            <v>350</v>
          </cell>
          <cell r="Y468">
            <v>2934.31</v>
          </cell>
          <cell r="Z468">
            <v>3118</v>
          </cell>
        </row>
        <row r="471">
          <cell r="I471">
            <v>111</v>
          </cell>
          <cell r="J471">
            <v>26</v>
          </cell>
          <cell r="K471">
            <v>81</v>
          </cell>
          <cell r="L471">
            <v>56</v>
          </cell>
          <cell r="M471">
            <v>1226</v>
          </cell>
          <cell r="N471">
            <v>26</v>
          </cell>
          <cell r="O471">
            <v>661</v>
          </cell>
          <cell r="P471">
            <v>26</v>
          </cell>
          <cell r="Q471">
            <v>81</v>
          </cell>
          <cell r="R471">
            <v>56</v>
          </cell>
          <cell r="S471">
            <v>81</v>
          </cell>
          <cell r="T471">
            <v>26</v>
          </cell>
          <cell r="Y471">
            <v>2343.42</v>
          </cell>
          <cell r="Z471">
            <v>1636</v>
          </cell>
        </row>
        <row r="474">
          <cell r="I474">
            <v>54.166666666666664</v>
          </cell>
          <cell r="J474">
            <v>54.166666666666664</v>
          </cell>
          <cell r="K474">
            <v>54.166666666666664</v>
          </cell>
          <cell r="L474">
            <v>54.166666666666664</v>
          </cell>
          <cell r="M474">
            <v>54.166666666666664</v>
          </cell>
          <cell r="N474">
            <v>54.166666666666664</v>
          </cell>
          <cell r="O474">
            <v>54.166666666666664</v>
          </cell>
          <cell r="P474">
            <v>54.166666666666664</v>
          </cell>
          <cell r="Q474">
            <v>54.166666666666664</v>
          </cell>
          <cell r="R474">
            <v>54.166666666666664</v>
          </cell>
          <cell r="S474">
            <v>54.166666666666664</v>
          </cell>
          <cell r="T474">
            <v>54.166666666666664</v>
          </cell>
          <cell r="Y474">
            <v>719.34</v>
          </cell>
          <cell r="Z474">
            <v>1232</v>
          </cell>
        </row>
        <row r="476">
          <cell r="I476">
            <v>731.5</v>
          </cell>
          <cell r="J476">
            <v>731.5</v>
          </cell>
          <cell r="K476">
            <v>731.5</v>
          </cell>
          <cell r="L476">
            <v>731.5</v>
          </cell>
          <cell r="M476">
            <v>731.5</v>
          </cell>
          <cell r="N476">
            <v>731.5</v>
          </cell>
          <cell r="O476">
            <v>731.5</v>
          </cell>
          <cell r="P476">
            <v>731.5</v>
          </cell>
          <cell r="Q476">
            <v>731.5</v>
          </cell>
          <cell r="R476">
            <v>731.5</v>
          </cell>
          <cell r="S476">
            <v>731.5</v>
          </cell>
          <cell r="T476">
            <v>731.5</v>
          </cell>
          <cell r="Y476">
            <v>7609.5</v>
          </cell>
          <cell r="Z476">
            <v>10108</v>
          </cell>
        </row>
        <row r="477">
          <cell r="I477">
            <v>180</v>
          </cell>
          <cell r="J477">
            <v>180</v>
          </cell>
          <cell r="K477">
            <v>180</v>
          </cell>
          <cell r="L477">
            <v>180</v>
          </cell>
          <cell r="M477">
            <v>180</v>
          </cell>
          <cell r="N477">
            <v>180</v>
          </cell>
          <cell r="O477">
            <v>180</v>
          </cell>
          <cell r="P477">
            <v>180</v>
          </cell>
          <cell r="Q477">
            <v>180</v>
          </cell>
          <cell r="R477">
            <v>180</v>
          </cell>
          <cell r="S477">
            <v>180</v>
          </cell>
          <cell r="T477">
            <v>180</v>
          </cell>
          <cell r="Y477">
            <v>1703.52</v>
          </cell>
          <cell r="Z477">
            <v>1936</v>
          </cell>
        </row>
        <row r="478">
          <cell r="I478">
            <v>93</v>
          </cell>
          <cell r="J478">
            <v>93</v>
          </cell>
          <cell r="K478">
            <v>93</v>
          </cell>
          <cell r="L478">
            <v>93</v>
          </cell>
          <cell r="M478">
            <v>93</v>
          </cell>
          <cell r="N478">
            <v>93</v>
          </cell>
          <cell r="O478">
            <v>248</v>
          </cell>
          <cell r="P478">
            <v>93</v>
          </cell>
          <cell r="Q478">
            <v>93</v>
          </cell>
          <cell r="R478">
            <v>93</v>
          </cell>
          <cell r="S478">
            <v>93</v>
          </cell>
          <cell r="T478">
            <v>93</v>
          </cell>
          <cell r="Y478">
            <v>1171.3699999999999</v>
          </cell>
          <cell r="Z478">
            <v>1333.2</v>
          </cell>
        </row>
        <row r="481">
          <cell r="I481">
            <v>47</v>
          </cell>
          <cell r="J481">
            <v>47</v>
          </cell>
          <cell r="K481">
            <v>47</v>
          </cell>
          <cell r="L481">
            <v>47</v>
          </cell>
          <cell r="M481">
            <v>47</v>
          </cell>
          <cell r="N481">
            <v>47</v>
          </cell>
          <cell r="O481">
            <v>47</v>
          </cell>
          <cell r="P481">
            <v>47</v>
          </cell>
          <cell r="Q481">
            <v>47</v>
          </cell>
          <cell r="R481">
            <v>47</v>
          </cell>
          <cell r="S481">
            <v>47</v>
          </cell>
          <cell r="T481">
            <v>47</v>
          </cell>
          <cell r="Y481">
            <v>367.45</v>
          </cell>
          <cell r="Z481">
            <v>396</v>
          </cell>
        </row>
        <row r="484">
          <cell r="I484">
            <v>1525</v>
          </cell>
          <cell r="J484">
            <v>25</v>
          </cell>
          <cell r="K484">
            <v>25</v>
          </cell>
          <cell r="L484">
            <v>25</v>
          </cell>
          <cell r="M484">
            <v>25</v>
          </cell>
          <cell r="N484">
            <v>25</v>
          </cell>
          <cell r="O484">
            <v>425</v>
          </cell>
          <cell r="P484">
            <v>25</v>
          </cell>
          <cell r="Q484">
            <v>25</v>
          </cell>
          <cell r="R484">
            <v>25</v>
          </cell>
          <cell r="S484">
            <v>25</v>
          </cell>
          <cell r="T484">
            <v>15025</v>
          </cell>
          <cell r="Y484">
            <v>3558.17</v>
          </cell>
          <cell r="Z484">
            <v>15000</v>
          </cell>
        </row>
        <row r="485">
          <cell r="I485">
            <v>1065</v>
          </cell>
          <cell r="J485">
            <v>75</v>
          </cell>
          <cell r="K485">
            <v>2875</v>
          </cell>
          <cell r="L485">
            <v>655</v>
          </cell>
          <cell r="M485">
            <v>1675</v>
          </cell>
          <cell r="N485">
            <v>2875</v>
          </cell>
          <cell r="O485">
            <v>2455</v>
          </cell>
          <cell r="P485">
            <v>175</v>
          </cell>
          <cell r="Q485">
            <v>2875</v>
          </cell>
          <cell r="R485">
            <v>655</v>
          </cell>
          <cell r="S485">
            <v>75</v>
          </cell>
          <cell r="T485">
            <v>3125</v>
          </cell>
          <cell r="Y485">
            <v>8975.1299999999992</v>
          </cell>
          <cell r="Z485">
            <v>25425</v>
          </cell>
        </row>
        <row r="487">
          <cell r="I487">
            <v>2157.9899999999998</v>
          </cell>
          <cell r="J487">
            <v>607.99</v>
          </cell>
          <cell r="K487">
            <v>932.99</v>
          </cell>
          <cell r="L487">
            <v>607.99</v>
          </cell>
          <cell r="M487">
            <v>967.94</v>
          </cell>
          <cell r="N487">
            <v>957.49</v>
          </cell>
          <cell r="O487">
            <v>657.99</v>
          </cell>
          <cell r="P487">
            <v>607.99</v>
          </cell>
          <cell r="Q487">
            <v>932.99</v>
          </cell>
          <cell r="R487">
            <v>607.99</v>
          </cell>
          <cell r="S487">
            <v>5395.99</v>
          </cell>
          <cell r="T487">
            <v>932.99</v>
          </cell>
          <cell r="Y487">
            <v>9876.44</v>
          </cell>
          <cell r="Z487">
            <v>17141.900000000001</v>
          </cell>
        </row>
        <row r="490">
          <cell r="I490">
            <v>450</v>
          </cell>
          <cell r="J490">
            <v>0</v>
          </cell>
          <cell r="K490">
            <v>805</v>
          </cell>
          <cell r="L490">
            <v>475</v>
          </cell>
          <cell r="M490">
            <v>1000</v>
          </cell>
          <cell r="N490">
            <v>1250</v>
          </cell>
          <cell r="O490">
            <v>295</v>
          </cell>
          <cell r="P490">
            <v>0</v>
          </cell>
          <cell r="Q490">
            <v>3250</v>
          </cell>
          <cell r="R490">
            <v>200</v>
          </cell>
          <cell r="S490">
            <v>500</v>
          </cell>
          <cell r="T490">
            <v>375</v>
          </cell>
          <cell r="Y490">
            <v>6669.39</v>
          </cell>
          <cell r="Z490">
            <v>4186.84</v>
          </cell>
        </row>
        <row r="494">
          <cell r="I494">
            <v>0</v>
          </cell>
          <cell r="J494">
            <v>0</v>
          </cell>
          <cell r="K494">
            <v>0</v>
          </cell>
          <cell r="L494">
            <v>0</v>
          </cell>
          <cell r="M494">
            <v>0</v>
          </cell>
          <cell r="N494">
            <v>0</v>
          </cell>
          <cell r="O494">
            <v>0</v>
          </cell>
          <cell r="P494">
            <v>0</v>
          </cell>
          <cell r="Q494">
            <v>0</v>
          </cell>
          <cell r="R494">
            <v>0</v>
          </cell>
          <cell r="S494">
            <v>0</v>
          </cell>
          <cell r="T494">
            <v>0</v>
          </cell>
          <cell r="Y494">
            <v>1403.28</v>
          </cell>
          <cell r="Z494">
            <v>1871</v>
          </cell>
        </row>
        <row r="496">
          <cell r="I496">
            <v>5899</v>
          </cell>
          <cell r="J496">
            <v>594</v>
          </cell>
          <cell r="K496">
            <v>2099</v>
          </cell>
          <cell r="L496">
            <v>99</v>
          </cell>
          <cell r="M496">
            <v>599</v>
          </cell>
          <cell r="N496">
            <v>599</v>
          </cell>
          <cell r="O496">
            <v>2099</v>
          </cell>
          <cell r="P496">
            <v>2599</v>
          </cell>
          <cell r="Q496">
            <v>749</v>
          </cell>
          <cell r="R496">
            <v>599</v>
          </cell>
          <cell r="S496">
            <v>1299</v>
          </cell>
          <cell r="T496">
            <v>849</v>
          </cell>
          <cell r="Y496">
            <v>1593.21</v>
          </cell>
          <cell r="Z496">
            <v>9028</v>
          </cell>
        </row>
        <row r="497">
          <cell r="I497">
            <v>180</v>
          </cell>
          <cell r="J497">
            <v>420</v>
          </cell>
          <cell r="K497">
            <v>180</v>
          </cell>
          <cell r="L497">
            <v>180</v>
          </cell>
          <cell r="M497">
            <v>180</v>
          </cell>
          <cell r="N497">
            <v>330</v>
          </cell>
          <cell r="O497">
            <v>330</v>
          </cell>
          <cell r="P497">
            <v>420</v>
          </cell>
          <cell r="Q497">
            <v>330</v>
          </cell>
          <cell r="R497">
            <v>330</v>
          </cell>
          <cell r="S497">
            <v>465</v>
          </cell>
          <cell r="T497">
            <v>465</v>
          </cell>
          <cell r="Y497">
            <v>2520.19</v>
          </cell>
          <cell r="Z497">
            <v>2000</v>
          </cell>
        </row>
        <row r="499">
          <cell r="I499">
            <v>245649.41875000001</v>
          </cell>
          <cell r="J499">
            <v>222569.71208</v>
          </cell>
          <cell r="K499">
            <v>270673.46541</v>
          </cell>
          <cell r="L499">
            <v>227273.28208</v>
          </cell>
          <cell r="M499">
            <v>598345.78957999998</v>
          </cell>
          <cell r="N499">
            <v>847791.19707999995</v>
          </cell>
          <cell r="O499">
            <v>451015.67291000002</v>
          </cell>
          <cell r="P499">
            <v>224624.98207999999</v>
          </cell>
          <cell r="Q499">
            <v>247567.58708</v>
          </cell>
          <cell r="R499">
            <v>232712.72208000001</v>
          </cell>
          <cell r="S499">
            <v>234163.10540999999</v>
          </cell>
          <cell r="T499">
            <v>653523.99375000002</v>
          </cell>
          <cell r="U499">
            <v>4455910.9282900002</v>
          </cell>
          <cell r="Y499">
            <v>2797679.7399999993</v>
          </cell>
          <cell r="Z499">
            <v>4220271.0000000009</v>
          </cell>
        </row>
      </sheetData>
      <sheetData sheetId="2" refreshError="1">
        <row r="9">
          <cell r="T9">
            <v>225000</v>
          </cell>
        </row>
        <row r="10">
          <cell r="T10">
            <v>278000</v>
          </cell>
        </row>
        <row r="11">
          <cell r="T11">
            <v>24000</v>
          </cell>
        </row>
        <row r="12">
          <cell r="T12">
            <v>15000</v>
          </cell>
        </row>
        <row r="15">
          <cell r="T15">
            <v>306000</v>
          </cell>
        </row>
        <row r="17">
          <cell r="T17">
            <v>-500</v>
          </cell>
        </row>
        <row r="20">
          <cell r="T20">
            <v>25000</v>
          </cell>
        </row>
        <row r="21">
          <cell r="T21">
            <v>55000</v>
          </cell>
        </row>
        <row r="36">
          <cell r="T36">
            <v>1900500</v>
          </cell>
        </row>
        <row r="38">
          <cell r="T38">
            <v>12000</v>
          </cell>
        </row>
        <row r="39">
          <cell r="T39">
            <v>43500</v>
          </cell>
        </row>
        <row r="44">
          <cell r="T44">
            <v>1050</v>
          </cell>
        </row>
        <row r="45">
          <cell r="T45">
            <v>840</v>
          </cell>
        </row>
        <row r="49">
          <cell r="T49">
            <v>13000</v>
          </cell>
        </row>
        <row r="50">
          <cell r="T50">
            <v>60000</v>
          </cell>
        </row>
        <row r="56">
          <cell r="S56">
            <v>17225</v>
          </cell>
        </row>
        <row r="60">
          <cell r="S60">
            <v>5000</v>
          </cell>
        </row>
        <row r="61">
          <cell r="L61">
            <v>1200</v>
          </cell>
        </row>
        <row r="62">
          <cell r="L62">
            <v>1500</v>
          </cell>
        </row>
        <row r="63">
          <cell r="L63">
            <v>15000</v>
          </cell>
        </row>
        <row r="64">
          <cell r="R64">
            <v>7500</v>
          </cell>
        </row>
        <row r="66">
          <cell r="L66">
            <v>2378</v>
          </cell>
          <cell r="M66">
            <v>648</v>
          </cell>
          <cell r="P66">
            <v>5613</v>
          </cell>
          <cell r="S66">
            <v>11451</v>
          </cell>
        </row>
        <row r="68">
          <cell r="L68">
            <v>0</v>
          </cell>
          <cell r="S68">
            <v>75</v>
          </cell>
        </row>
        <row r="70">
          <cell r="L70">
            <v>0</v>
          </cell>
          <cell r="N70">
            <v>10640</v>
          </cell>
        </row>
        <row r="71">
          <cell r="N71">
            <v>1665</v>
          </cell>
        </row>
        <row r="72">
          <cell r="M72">
            <v>4600</v>
          </cell>
          <cell r="S72">
            <v>4500</v>
          </cell>
        </row>
        <row r="73">
          <cell r="M73">
            <v>10000</v>
          </cell>
        </row>
        <row r="74">
          <cell r="L74">
            <v>165</v>
          </cell>
          <cell r="P74">
            <v>845</v>
          </cell>
        </row>
        <row r="75">
          <cell r="N75">
            <v>1400</v>
          </cell>
        </row>
        <row r="76">
          <cell r="N76">
            <v>1200</v>
          </cell>
        </row>
        <row r="77">
          <cell r="M77">
            <v>600</v>
          </cell>
        </row>
        <row r="79">
          <cell r="O79">
            <v>4099</v>
          </cell>
        </row>
        <row r="82">
          <cell r="N82">
            <v>195</v>
          </cell>
        </row>
        <row r="85">
          <cell r="L85">
            <v>219414.85</v>
          </cell>
          <cell r="M85">
            <v>34278.400000000001</v>
          </cell>
          <cell r="P85">
            <v>151747.48000000001</v>
          </cell>
          <cell r="S85">
            <v>732949.76</v>
          </cell>
          <cell r="T85">
            <v>1138390.49</v>
          </cell>
        </row>
        <row r="86">
          <cell r="L86">
            <v>8526.2099999999991</v>
          </cell>
          <cell r="M86">
            <v>1371.14</v>
          </cell>
          <cell r="P86">
            <v>5819.51</v>
          </cell>
          <cell r="S86">
            <v>7892.39</v>
          </cell>
          <cell r="T86">
            <v>23609.25</v>
          </cell>
        </row>
        <row r="87">
          <cell r="L87">
            <v>26713.54</v>
          </cell>
          <cell r="P87">
            <v>24590.26</v>
          </cell>
          <cell r="S87">
            <v>79411.08</v>
          </cell>
          <cell r="T87">
            <v>130714.88</v>
          </cell>
        </row>
        <row r="88">
          <cell r="L88">
            <v>16974.95667</v>
          </cell>
          <cell r="M88">
            <v>1738</v>
          </cell>
          <cell r="P88">
            <v>4635</v>
          </cell>
          <cell r="S88">
            <v>30707</v>
          </cell>
        </row>
        <row r="89">
          <cell r="S89">
            <v>150</v>
          </cell>
        </row>
        <row r="90">
          <cell r="M90">
            <v>10000</v>
          </cell>
          <cell r="T90">
            <v>10000</v>
          </cell>
        </row>
        <row r="91">
          <cell r="I91">
            <v>22883.23</v>
          </cell>
          <cell r="K91">
            <v>10976.34</v>
          </cell>
          <cell r="L91">
            <v>17770.68</v>
          </cell>
          <cell r="M91">
            <v>2854.17</v>
          </cell>
          <cell r="P91">
            <v>12362.26</v>
          </cell>
          <cell r="S91">
            <v>61531.199999999997</v>
          </cell>
          <cell r="T91">
            <v>128377.88</v>
          </cell>
        </row>
        <row r="93">
          <cell r="L93">
            <v>0</v>
          </cell>
          <cell r="O93">
            <v>945</v>
          </cell>
          <cell r="S93">
            <v>22800</v>
          </cell>
        </row>
        <row r="94">
          <cell r="O94">
            <v>2475</v>
          </cell>
        </row>
        <row r="95">
          <cell r="L95">
            <v>2499.75</v>
          </cell>
          <cell r="M95">
            <v>681.75</v>
          </cell>
          <cell r="P95">
            <v>1055</v>
          </cell>
          <cell r="Q95">
            <v>1884</v>
          </cell>
          <cell r="S95">
            <v>0</v>
          </cell>
        </row>
        <row r="97">
          <cell r="L97">
            <v>200</v>
          </cell>
          <cell r="M97">
            <v>100</v>
          </cell>
          <cell r="P97">
            <v>600</v>
          </cell>
          <cell r="Q97">
            <v>586</v>
          </cell>
          <cell r="S97">
            <v>4000</v>
          </cell>
        </row>
        <row r="99">
          <cell r="L99">
            <v>682</v>
          </cell>
          <cell r="M99">
            <v>194</v>
          </cell>
          <cell r="P99">
            <v>500</v>
          </cell>
        </row>
        <row r="100">
          <cell r="L100">
            <v>1500</v>
          </cell>
          <cell r="M100">
            <v>180</v>
          </cell>
          <cell r="Q100">
            <v>2472</v>
          </cell>
          <cell r="S100">
            <v>12000</v>
          </cell>
        </row>
        <row r="101">
          <cell r="L101">
            <v>0</v>
          </cell>
          <cell r="M101">
            <v>0</v>
          </cell>
          <cell r="N101">
            <v>55</v>
          </cell>
          <cell r="O101">
            <v>536</v>
          </cell>
          <cell r="P101">
            <v>60</v>
          </cell>
          <cell r="S101">
            <v>100</v>
          </cell>
        </row>
        <row r="102">
          <cell r="L102">
            <v>550</v>
          </cell>
          <cell r="M102">
            <v>150</v>
          </cell>
          <cell r="P102">
            <v>399.99999999999994</v>
          </cell>
          <cell r="S102">
            <v>3600</v>
          </cell>
        </row>
        <row r="103">
          <cell r="I103">
            <v>200</v>
          </cell>
          <cell r="L103">
            <v>0</v>
          </cell>
          <cell r="M103">
            <v>0</v>
          </cell>
          <cell r="S103">
            <v>0</v>
          </cell>
        </row>
        <row r="105">
          <cell r="L105">
            <v>0</v>
          </cell>
          <cell r="S105">
            <v>8000</v>
          </cell>
        </row>
        <row r="106">
          <cell r="L106">
            <v>0</v>
          </cell>
          <cell r="P106">
            <v>5266.7999999999993</v>
          </cell>
        </row>
        <row r="107">
          <cell r="L107">
            <v>0</v>
          </cell>
          <cell r="P107">
            <v>0</v>
          </cell>
          <cell r="S107">
            <v>17600</v>
          </cell>
        </row>
        <row r="108">
          <cell r="L108">
            <v>0</v>
          </cell>
          <cell r="P108">
            <v>1320</v>
          </cell>
          <cell r="S108">
            <v>22800</v>
          </cell>
        </row>
        <row r="109">
          <cell r="L109">
            <v>0</v>
          </cell>
          <cell r="P109">
            <v>0</v>
          </cell>
          <cell r="S109">
            <v>13112</v>
          </cell>
        </row>
        <row r="110">
          <cell r="L110">
            <v>100</v>
          </cell>
          <cell r="P110">
            <v>753</v>
          </cell>
          <cell r="S110">
            <v>9684</v>
          </cell>
        </row>
        <row r="114">
          <cell r="L114">
            <v>0</v>
          </cell>
          <cell r="S114">
            <v>10635.36</v>
          </cell>
        </row>
        <row r="115">
          <cell r="L115">
            <v>779</v>
          </cell>
          <cell r="S115">
            <v>557</v>
          </cell>
        </row>
        <row r="116">
          <cell r="L116">
            <v>2917.55</v>
          </cell>
          <cell r="S116">
            <v>7034.5749999999998</v>
          </cell>
        </row>
        <row r="117">
          <cell r="L117">
            <v>1100</v>
          </cell>
          <cell r="S117">
            <v>14250</v>
          </cell>
        </row>
        <row r="118">
          <cell r="L118">
            <v>1000</v>
          </cell>
          <cell r="S118">
            <v>10000</v>
          </cell>
        </row>
        <row r="120">
          <cell r="L120">
            <v>0</v>
          </cell>
          <cell r="S120">
            <v>8000</v>
          </cell>
        </row>
        <row r="121">
          <cell r="L121">
            <v>0</v>
          </cell>
          <cell r="P121">
            <v>336</v>
          </cell>
          <cell r="S121">
            <v>0</v>
          </cell>
        </row>
        <row r="123">
          <cell r="L123">
            <v>1000</v>
          </cell>
        </row>
        <row r="127">
          <cell r="S127">
            <v>78000</v>
          </cell>
        </row>
        <row r="128">
          <cell r="L128">
            <v>5776</v>
          </cell>
          <cell r="M128">
            <v>7036</v>
          </cell>
          <cell r="P128">
            <v>4148</v>
          </cell>
          <cell r="S128">
            <v>7500</v>
          </cell>
        </row>
        <row r="129">
          <cell r="L129">
            <v>200</v>
          </cell>
          <cell r="M129">
            <v>100</v>
          </cell>
          <cell r="N129">
            <v>500</v>
          </cell>
          <cell r="O129">
            <v>200</v>
          </cell>
          <cell r="P129">
            <v>100</v>
          </cell>
          <cell r="R129">
            <v>0</v>
          </cell>
          <cell r="S129">
            <v>4000</v>
          </cell>
        </row>
        <row r="131">
          <cell r="L131">
            <v>1000</v>
          </cell>
          <cell r="M131">
            <v>950</v>
          </cell>
          <cell r="P131">
            <v>518</v>
          </cell>
          <cell r="Q131">
            <v>1750</v>
          </cell>
          <cell r="S131">
            <v>3600</v>
          </cell>
        </row>
        <row r="134">
          <cell r="S134">
            <v>533.28</v>
          </cell>
        </row>
        <row r="135">
          <cell r="L135">
            <v>6399.96</v>
          </cell>
          <cell r="N135">
            <v>0</v>
          </cell>
          <cell r="S135">
            <v>3900</v>
          </cell>
        </row>
        <row r="136">
          <cell r="L136">
            <v>0</v>
          </cell>
          <cell r="S136">
            <v>3219.6</v>
          </cell>
        </row>
        <row r="137">
          <cell r="L137">
            <v>0</v>
          </cell>
          <cell r="S137">
            <v>355.44</v>
          </cell>
        </row>
        <row r="138">
          <cell r="L138">
            <v>8399.64</v>
          </cell>
          <cell r="S138">
            <v>0</v>
          </cell>
        </row>
        <row r="139">
          <cell r="L139">
            <v>200.04</v>
          </cell>
          <cell r="S139">
            <v>51726</v>
          </cell>
        </row>
        <row r="142">
          <cell r="M142">
            <v>100</v>
          </cell>
          <cell r="P142">
            <v>2400</v>
          </cell>
          <cell r="S142">
            <v>1160</v>
          </cell>
        </row>
        <row r="151">
          <cell r="K151">
            <v>2809</v>
          </cell>
        </row>
        <row r="153">
          <cell r="K153">
            <v>135146.37</v>
          </cell>
          <cell r="T153">
            <v>135146.37</v>
          </cell>
        </row>
        <row r="154">
          <cell r="K154">
            <v>-13897.02583</v>
          </cell>
          <cell r="T154">
            <v>-13897.02583</v>
          </cell>
        </row>
        <row r="155">
          <cell r="K155">
            <v>14669.85</v>
          </cell>
          <cell r="T155">
            <v>14669.85</v>
          </cell>
        </row>
        <row r="156">
          <cell r="K156">
            <v>7533</v>
          </cell>
        </row>
        <row r="158">
          <cell r="K158">
            <v>14100</v>
          </cell>
        </row>
        <row r="159">
          <cell r="K159">
            <v>13165.5</v>
          </cell>
        </row>
        <row r="160">
          <cell r="K160">
            <v>1000</v>
          </cell>
        </row>
        <row r="161">
          <cell r="K161">
            <v>800</v>
          </cell>
        </row>
        <row r="162">
          <cell r="K162">
            <v>186</v>
          </cell>
        </row>
        <row r="163">
          <cell r="K163">
            <v>3217</v>
          </cell>
        </row>
        <row r="164">
          <cell r="K164">
            <v>2720</v>
          </cell>
        </row>
        <row r="165">
          <cell r="K165">
            <v>792</v>
          </cell>
        </row>
        <row r="166">
          <cell r="K166">
            <v>650</v>
          </cell>
        </row>
        <row r="167">
          <cell r="K167">
            <v>1000</v>
          </cell>
        </row>
        <row r="169">
          <cell r="K169">
            <v>8778</v>
          </cell>
        </row>
        <row r="170">
          <cell r="K170">
            <v>2160</v>
          </cell>
        </row>
        <row r="171">
          <cell r="K171">
            <v>1271</v>
          </cell>
        </row>
        <row r="174">
          <cell r="K174">
            <v>564</v>
          </cell>
        </row>
        <row r="176">
          <cell r="K176">
            <v>200</v>
          </cell>
        </row>
        <row r="177">
          <cell r="K177">
            <v>6832</v>
          </cell>
        </row>
        <row r="178">
          <cell r="K178">
            <v>3582</v>
          </cell>
        </row>
        <row r="179">
          <cell r="K179">
            <v>500</v>
          </cell>
        </row>
        <row r="181">
          <cell r="K181">
            <v>905</v>
          </cell>
        </row>
        <row r="185">
          <cell r="I185">
            <v>2809</v>
          </cell>
        </row>
        <row r="187">
          <cell r="I187">
            <v>283366.09999999998</v>
          </cell>
          <cell r="T187">
            <v>283366.09999999998</v>
          </cell>
        </row>
        <row r="188">
          <cell r="I188">
            <v>11209.145</v>
          </cell>
          <cell r="T188">
            <v>11209.145</v>
          </cell>
        </row>
        <row r="189">
          <cell r="I189">
            <v>34533.35</v>
          </cell>
          <cell r="T189">
            <v>34533.35</v>
          </cell>
        </row>
        <row r="190">
          <cell r="I190">
            <v>8400</v>
          </cell>
        </row>
        <row r="191">
          <cell r="I191">
            <v>10000</v>
          </cell>
        </row>
        <row r="192">
          <cell r="I192">
            <v>7533</v>
          </cell>
        </row>
        <row r="194">
          <cell r="I194">
            <v>18595</v>
          </cell>
        </row>
        <row r="195">
          <cell r="I195">
            <v>1230</v>
          </cell>
          <cell r="J195">
            <v>3165.5</v>
          </cell>
        </row>
        <row r="196">
          <cell r="I196">
            <v>12</v>
          </cell>
          <cell r="J196">
            <v>6720</v>
          </cell>
        </row>
        <row r="198">
          <cell r="I198">
            <v>1075</v>
          </cell>
          <cell r="J198">
            <v>972</v>
          </cell>
        </row>
        <row r="200">
          <cell r="I200">
            <v>807</v>
          </cell>
        </row>
        <row r="201">
          <cell r="I201">
            <v>180</v>
          </cell>
          <cell r="J201">
            <v>4020</v>
          </cell>
        </row>
        <row r="202">
          <cell r="I202">
            <v>2337</v>
          </cell>
          <cell r="J202">
            <v>120</v>
          </cell>
        </row>
        <row r="203">
          <cell r="I203">
            <v>650</v>
          </cell>
        </row>
        <row r="205">
          <cell r="I205">
            <v>8778</v>
          </cell>
        </row>
        <row r="206">
          <cell r="I206">
            <v>2160</v>
          </cell>
        </row>
        <row r="207">
          <cell r="I207">
            <v>1271</v>
          </cell>
        </row>
        <row r="210">
          <cell r="I210">
            <v>564</v>
          </cell>
        </row>
        <row r="215">
          <cell r="I215">
            <v>35780</v>
          </cell>
        </row>
        <row r="216">
          <cell r="I216">
            <v>8536.33</v>
          </cell>
          <cell r="J216">
            <v>6832</v>
          </cell>
        </row>
        <row r="217">
          <cell r="I217">
            <v>7350</v>
          </cell>
          <cell r="J217">
            <v>1250</v>
          </cell>
        </row>
        <row r="219">
          <cell r="I219">
            <v>0</v>
          </cell>
        </row>
        <row r="221">
          <cell r="I221">
            <v>18083</v>
          </cell>
        </row>
        <row r="222">
          <cell r="I222">
            <v>3810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s"/>
      <sheetName val="Allocations"/>
      <sheetName val="Combined Overview"/>
    </sheetNames>
    <sheetDataSet>
      <sheetData sheetId="0">
        <row r="109">
          <cell r="I109">
            <v>55280.611904666664</v>
          </cell>
        </row>
      </sheetData>
      <sheetData sheetId="1">
        <row r="9">
          <cell r="I9">
            <v>1244.0489285714286</v>
          </cell>
        </row>
      </sheetData>
      <sheetData sheetId="2">
        <row r="9">
          <cell r="I9">
            <v>11525</v>
          </cell>
          <cell r="J9">
            <v>13590</v>
          </cell>
          <cell r="K9">
            <v>17650</v>
          </cell>
          <cell r="L9">
            <v>9850</v>
          </cell>
          <cell r="M9">
            <v>15815</v>
          </cell>
          <cell r="N9">
            <v>93400</v>
          </cell>
          <cell r="O9">
            <v>18825</v>
          </cell>
          <cell r="P9">
            <v>19575</v>
          </cell>
          <cell r="Q9">
            <v>6325</v>
          </cell>
          <cell r="R9">
            <v>13500</v>
          </cell>
          <cell r="S9">
            <v>10515</v>
          </cell>
          <cell r="T9">
            <v>-11357</v>
          </cell>
          <cell r="X9">
            <v>219173.04</v>
          </cell>
        </row>
        <row r="11">
          <cell r="I11">
            <v>-22250</v>
          </cell>
          <cell r="J11">
            <v>7750</v>
          </cell>
          <cell r="K11">
            <v>12750</v>
          </cell>
          <cell r="L11">
            <v>7750</v>
          </cell>
          <cell r="M11">
            <v>27750</v>
          </cell>
          <cell r="N11">
            <v>29550</v>
          </cell>
          <cell r="O11">
            <v>20250</v>
          </cell>
          <cell r="P11">
            <v>7750</v>
          </cell>
          <cell r="Q11">
            <v>27750</v>
          </cell>
          <cell r="R11">
            <v>16750</v>
          </cell>
          <cell r="S11">
            <v>17750</v>
          </cell>
          <cell r="T11">
            <v>88995</v>
          </cell>
          <cell r="X11">
            <v>53937.919999999998</v>
          </cell>
        </row>
        <row r="12">
          <cell r="I12">
            <v>3200</v>
          </cell>
          <cell r="J12">
            <v>700</v>
          </cell>
          <cell r="K12">
            <v>2200</v>
          </cell>
          <cell r="L12">
            <v>700</v>
          </cell>
          <cell r="M12">
            <v>7700</v>
          </cell>
          <cell r="N12">
            <v>3200</v>
          </cell>
          <cell r="O12">
            <v>700</v>
          </cell>
          <cell r="P12">
            <v>200</v>
          </cell>
          <cell r="Q12">
            <v>4700</v>
          </cell>
          <cell r="R12">
            <v>5450</v>
          </cell>
          <cell r="S12">
            <v>7700</v>
          </cell>
          <cell r="T12">
            <v>-3015</v>
          </cell>
          <cell r="X12">
            <v>18559.5</v>
          </cell>
        </row>
        <row r="13">
          <cell r="I13">
            <v>0</v>
          </cell>
          <cell r="J13">
            <v>0</v>
          </cell>
          <cell r="K13">
            <v>0</v>
          </cell>
          <cell r="L13">
            <v>0</v>
          </cell>
          <cell r="M13">
            <v>0</v>
          </cell>
          <cell r="N13">
            <v>0</v>
          </cell>
          <cell r="O13">
            <v>0</v>
          </cell>
          <cell r="P13">
            <v>0</v>
          </cell>
          <cell r="Q13">
            <v>0</v>
          </cell>
          <cell r="R13">
            <v>0</v>
          </cell>
          <cell r="S13">
            <v>0</v>
          </cell>
          <cell r="T13">
            <v>0</v>
          </cell>
          <cell r="X13">
            <v>12589</v>
          </cell>
        </row>
        <row r="16">
          <cell r="I16">
            <v>0</v>
          </cell>
          <cell r="J16">
            <v>0</v>
          </cell>
          <cell r="K16">
            <v>0</v>
          </cell>
          <cell r="L16">
            <v>0</v>
          </cell>
          <cell r="M16">
            <v>0</v>
          </cell>
          <cell r="N16">
            <v>0</v>
          </cell>
          <cell r="O16">
            <v>0</v>
          </cell>
          <cell r="P16">
            <v>0</v>
          </cell>
          <cell r="Q16">
            <v>0</v>
          </cell>
          <cell r="R16">
            <v>0</v>
          </cell>
          <cell r="S16">
            <v>0</v>
          </cell>
          <cell r="T16">
            <v>85000</v>
          </cell>
          <cell r="X16">
            <v>437207.94</v>
          </cell>
        </row>
        <row r="18">
          <cell r="I18">
            <v>0</v>
          </cell>
          <cell r="J18">
            <v>0</v>
          </cell>
          <cell r="K18">
            <v>0</v>
          </cell>
          <cell r="L18">
            <v>0</v>
          </cell>
          <cell r="M18">
            <v>0</v>
          </cell>
          <cell r="N18">
            <v>0</v>
          </cell>
          <cell r="O18">
            <v>0</v>
          </cell>
          <cell r="P18">
            <v>0</v>
          </cell>
          <cell r="Q18">
            <v>0</v>
          </cell>
          <cell r="R18">
            <v>0</v>
          </cell>
          <cell r="S18">
            <v>0</v>
          </cell>
          <cell r="T18">
            <v>0</v>
          </cell>
        </row>
        <row r="19">
          <cell r="I19">
            <v>5000</v>
          </cell>
          <cell r="J19">
            <v>5000</v>
          </cell>
          <cell r="K19">
            <v>0</v>
          </cell>
          <cell r="L19">
            <v>0</v>
          </cell>
          <cell r="M19">
            <v>0</v>
          </cell>
          <cell r="N19">
            <v>0</v>
          </cell>
          <cell r="O19">
            <v>0</v>
          </cell>
          <cell r="P19">
            <v>0</v>
          </cell>
          <cell r="Q19">
            <v>0</v>
          </cell>
          <cell r="R19">
            <v>0</v>
          </cell>
          <cell r="S19">
            <v>0</v>
          </cell>
          <cell r="T19">
            <v>0</v>
          </cell>
        </row>
        <row r="21">
          <cell r="I21">
            <v>0</v>
          </cell>
          <cell r="J21">
            <v>0</v>
          </cell>
          <cell r="K21">
            <v>0</v>
          </cell>
          <cell r="L21">
            <v>0</v>
          </cell>
          <cell r="M21">
            <v>0</v>
          </cell>
          <cell r="N21">
            <v>5000</v>
          </cell>
          <cell r="O21">
            <v>0</v>
          </cell>
          <cell r="P21">
            <v>0</v>
          </cell>
          <cell r="Q21">
            <v>0</v>
          </cell>
          <cell r="R21">
            <v>40000</v>
          </cell>
          <cell r="S21">
            <v>303313</v>
          </cell>
          <cell r="T21">
            <v>5000</v>
          </cell>
          <cell r="X21">
            <v>33500</v>
          </cell>
        </row>
        <row r="22">
          <cell r="I22">
            <v>0</v>
          </cell>
          <cell r="J22">
            <v>5000</v>
          </cell>
          <cell r="K22">
            <v>0</v>
          </cell>
          <cell r="L22">
            <v>87500</v>
          </cell>
          <cell r="M22">
            <v>0</v>
          </cell>
          <cell r="N22">
            <v>5000</v>
          </cell>
          <cell r="O22">
            <v>0</v>
          </cell>
          <cell r="P22">
            <v>0</v>
          </cell>
          <cell r="Q22">
            <v>0</v>
          </cell>
          <cell r="R22">
            <v>0</v>
          </cell>
          <cell r="S22">
            <v>0</v>
          </cell>
          <cell r="T22">
            <v>0</v>
          </cell>
          <cell r="X22">
            <v>20500</v>
          </cell>
        </row>
        <row r="27">
          <cell r="I27">
            <v>8000</v>
          </cell>
          <cell r="J27">
            <v>1235</v>
          </cell>
          <cell r="K27">
            <v>1235</v>
          </cell>
          <cell r="L27">
            <v>0</v>
          </cell>
          <cell r="M27">
            <v>0</v>
          </cell>
          <cell r="N27">
            <v>2470</v>
          </cell>
          <cell r="O27">
            <v>3705</v>
          </cell>
          <cell r="P27">
            <v>2470</v>
          </cell>
          <cell r="Q27">
            <v>2470</v>
          </cell>
          <cell r="R27">
            <v>1235</v>
          </cell>
          <cell r="S27">
            <v>0</v>
          </cell>
          <cell r="T27">
            <v>50000</v>
          </cell>
          <cell r="X27">
            <v>23205.78</v>
          </cell>
        </row>
        <row r="28">
          <cell r="I28">
            <v>0</v>
          </cell>
          <cell r="J28">
            <v>1164</v>
          </cell>
          <cell r="K28">
            <v>4425</v>
          </cell>
          <cell r="L28">
            <v>3240</v>
          </cell>
          <cell r="M28">
            <v>8188</v>
          </cell>
          <cell r="N28">
            <v>5889</v>
          </cell>
          <cell r="O28">
            <v>7053</v>
          </cell>
          <cell r="P28">
            <v>8021</v>
          </cell>
          <cell r="Q28">
            <v>5526</v>
          </cell>
          <cell r="R28">
            <v>3296</v>
          </cell>
          <cell r="S28">
            <v>2132</v>
          </cell>
          <cell r="T28">
            <v>1066</v>
          </cell>
          <cell r="X28">
            <v>39026.400000000001</v>
          </cell>
        </row>
        <row r="32">
          <cell r="I32">
            <v>48</v>
          </cell>
          <cell r="J32">
            <v>48</v>
          </cell>
          <cell r="K32">
            <v>48</v>
          </cell>
          <cell r="L32">
            <v>144</v>
          </cell>
          <cell r="M32">
            <v>192</v>
          </cell>
          <cell r="N32">
            <v>1195</v>
          </cell>
          <cell r="O32">
            <v>240</v>
          </cell>
          <cell r="P32">
            <v>240</v>
          </cell>
          <cell r="Q32">
            <v>240</v>
          </cell>
          <cell r="R32">
            <v>240</v>
          </cell>
          <cell r="S32">
            <v>3240</v>
          </cell>
          <cell r="T32">
            <v>2150</v>
          </cell>
          <cell r="X32">
            <v>85188.39</v>
          </cell>
        </row>
        <row r="34">
          <cell r="I34">
            <v>0</v>
          </cell>
          <cell r="J34">
            <v>0</v>
          </cell>
          <cell r="K34">
            <v>1500000</v>
          </cell>
          <cell r="L34">
            <v>0</v>
          </cell>
          <cell r="M34">
            <v>0</v>
          </cell>
          <cell r="N34">
            <v>0</v>
          </cell>
          <cell r="O34">
            <v>0</v>
          </cell>
          <cell r="P34">
            <v>0</v>
          </cell>
          <cell r="Q34">
            <v>0</v>
          </cell>
          <cell r="R34">
            <v>0</v>
          </cell>
          <cell r="S34">
            <v>0</v>
          </cell>
          <cell r="T34">
            <v>0</v>
          </cell>
          <cell r="X34">
            <v>83857.17</v>
          </cell>
        </row>
        <row r="36">
          <cell r="I36">
            <v>342000</v>
          </cell>
          <cell r="J36">
            <v>0</v>
          </cell>
          <cell r="K36">
            <v>0</v>
          </cell>
          <cell r="L36">
            <v>0</v>
          </cell>
          <cell r="M36">
            <v>0</v>
          </cell>
          <cell r="N36">
            <v>174000</v>
          </cell>
          <cell r="O36">
            <v>215000</v>
          </cell>
          <cell r="P36">
            <v>0</v>
          </cell>
          <cell r="Q36">
            <v>0</v>
          </cell>
          <cell r="R36">
            <v>0</v>
          </cell>
          <cell r="S36">
            <v>-40000</v>
          </cell>
          <cell r="T36">
            <v>622500</v>
          </cell>
          <cell r="X36">
            <v>753976</v>
          </cell>
        </row>
        <row r="37">
          <cell r="I37">
            <v>2000</v>
          </cell>
          <cell r="J37">
            <v>0</v>
          </cell>
          <cell r="K37">
            <v>0</v>
          </cell>
          <cell r="L37">
            <v>0</v>
          </cell>
          <cell r="M37">
            <v>0</v>
          </cell>
          <cell r="N37">
            <v>1000</v>
          </cell>
          <cell r="O37">
            <v>1000</v>
          </cell>
          <cell r="P37">
            <v>0</v>
          </cell>
          <cell r="Q37">
            <v>2000</v>
          </cell>
          <cell r="R37">
            <v>2000</v>
          </cell>
          <cell r="S37">
            <v>-3000</v>
          </cell>
          <cell r="T37">
            <v>2000</v>
          </cell>
          <cell r="X37">
            <v>0</v>
          </cell>
        </row>
        <row r="39">
          <cell r="I39">
            <v>145833.33333333334</v>
          </cell>
          <cell r="J39">
            <v>145833.33333333334</v>
          </cell>
          <cell r="K39">
            <v>145833.33333333334</v>
          </cell>
          <cell r="L39">
            <v>145833.33333333334</v>
          </cell>
          <cell r="M39">
            <v>145833.33333333334</v>
          </cell>
          <cell r="N39">
            <v>145833.33333333334</v>
          </cell>
          <cell r="O39">
            <v>145833.33333333334</v>
          </cell>
          <cell r="P39">
            <v>145833.33333333334</v>
          </cell>
          <cell r="Q39">
            <v>187433.33333333334</v>
          </cell>
          <cell r="R39">
            <v>190033.33333333334</v>
          </cell>
          <cell r="S39">
            <v>195333.33333333334</v>
          </cell>
          <cell r="T39">
            <v>69064.333333333343</v>
          </cell>
          <cell r="X39">
            <v>1307662.23</v>
          </cell>
        </row>
        <row r="40">
          <cell r="I40">
            <v>10</v>
          </cell>
          <cell r="J40">
            <v>10</v>
          </cell>
          <cell r="K40">
            <v>10</v>
          </cell>
          <cell r="L40">
            <v>10</v>
          </cell>
          <cell r="M40">
            <v>10</v>
          </cell>
          <cell r="N40">
            <v>10</v>
          </cell>
          <cell r="O40">
            <v>10</v>
          </cell>
          <cell r="P40">
            <v>10</v>
          </cell>
          <cell r="Q40">
            <v>10</v>
          </cell>
          <cell r="R40">
            <v>10</v>
          </cell>
          <cell r="S40">
            <v>10</v>
          </cell>
          <cell r="T40">
            <v>10</v>
          </cell>
          <cell r="X40">
            <v>-34.869999999999997</v>
          </cell>
        </row>
        <row r="41">
          <cell r="I41">
            <v>12916.666666666666</v>
          </cell>
          <cell r="J41">
            <v>12916.666666666666</v>
          </cell>
          <cell r="K41">
            <v>12916.666666666666</v>
          </cell>
          <cell r="L41">
            <v>12916.666666666666</v>
          </cell>
          <cell r="M41">
            <v>12916.666666666666</v>
          </cell>
          <cell r="N41">
            <v>12916.666666666666</v>
          </cell>
          <cell r="O41">
            <v>12916.666666666666</v>
          </cell>
          <cell r="P41">
            <v>12916.666666666666</v>
          </cell>
          <cell r="Q41">
            <v>17076.666666666664</v>
          </cell>
          <cell r="R41">
            <v>17336.666666666664</v>
          </cell>
          <cell r="S41">
            <v>17866.666666666664</v>
          </cell>
          <cell r="T41">
            <v>17856.666666666664</v>
          </cell>
          <cell r="X41">
            <v>120454.06</v>
          </cell>
        </row>
        <row r="42">
          <cell r="I42">
            <v>5000</v>
          </cell>
          <cell r="J42">
            <v>5000</v>
          </cell>
          <cell r="K42">
            <v>5000</v>
          </cell>
          <cell r="L42">
            <v>5000</v>
          </cell>
          <cell r="M42">
            <v>5000</v>
          </cell>
          <cell r="N42">
            <v>5000</v>
          </cell>
          <cell r="O42">
            <v>5000</v>
          </cell>
          <cell r="P42">
            <v>5000</v>
          </cell>
          <cell r="Q42">
            <v>5457.6</v>
          </cell>
          <cell r="R42">
            <v>5486.2</v>
          </cell>
          <cell r="S42">
            <v>5544.5</v>
          </cell>
          <cell r="T42">
            <v>5543.4</v>
          </cell>
          <cell r="X42">
            <v>42105</v>
          </cell>
        </row>
        <row r="43">
          <cell r="I43">
            <v>1833.3333333333333</v>
          </cell>
          <cell r="J43">
            <v>1833.3333333333333</v>
          </cell>
          <cell r="K43">
            <v>1833.3333333333333</v>
          </cell>
          <cell r="L43">
            <v>1833.3333333333333</v>
          </cell>
          <cell r="M43">
            <v>1833.3333333333333</v>
          </cell>
          <cell r="N43">
            <v>1833.3333333333333</v>
          </cell>
          <cell r="O43">
            <v>1833.3333333333333</v>
          </cell>
          <cell r="P43">
            <v>1833.3333333333333</v>
          </cell>
          <cell r="Q43">
            <v>2155.083333333333</v>
          </cell>
          <cell r="R43">
            <v>2197.9833333333331</v>
          </cell>
          <cell r="S43">
            <v>2264.395833333333</v>
          </cell>
          <cell r="T43">
            <v>2283.7833333333333</v>
          </cell>
          <cell r="X43">
            <v>17727.509999999998</v>
          </cell>
        </row>
        <row r="44">
          <cell r="I44">
            <v>2500</v>
          </cell>
          <cell r="J44">
            <v>2500</v>
          </cell>
          <cell r="K44">
            <v>2500</v>
          </cell>
          <cell r="L44">
            <v>2500</v>
          </cell>
          <cell r="M44">
            <v>2500</v>
          </cell>
          <cell r="N44">
            <v>2500</v>
          </cell>
          <cell r="O44">
            <v>2500</v>
          </cell>
          <cell r="P44">
            <v>2500</v>
          </cell>
          <cell r="Q44">
            <v>2700</v>
          </cell>
          <cell r="R44">
            <v>2700</v>
          </cell>
          <cell r="S44">
            <v>2700</v>
          </cell>
          <cell r="T44">
            <v>2750</v>
          </cell>
          <cell r="X44">
            <v>17721.2</v>
          </cell>
        </row>
        <row r="47">
          <cell r="I47">
            <v>15000</v>
          </cell>
          <cell r="J47">
            <v>15000</v>
          </cell>
          <cell r="K47">
            <v>15000</v>
          </cell>
          <cell r="L47">
            <v>15000</v>
          </cell>
          <cell r="M47">
            <v>15000</v>
          </cell>
          <cell r="N47">
            <v>15000</v>
          </cell>
          <cell r="O47">
            <v>15000</v>
          </cell>
          <cell r="P47">
            <v>15000</v>
          </cell>
          <cell r="Q47">
            <v>15000</v>
          </cell>
          <cell r="R47">
            <v>15000</v>
          </cell>
          <cell r="S47">
            <v>15000</v>
          </cell>
          <cell r="T47">
            <v>95000</v>
          </cell>
          <cell r="X47">
            <v>195641.05</v>
          </cell>
        </row>
        <row r="49">
          <cell r="I49">
            <v>0</v>
          </cell>
          <cell r="J49">
            <v>0</v>
          </cell>
          <cell r="K49">
            <v>0</v>
          </cell>
          <cell r="L49">
            <v>0</v>
          </cell>
          <cell r="M49">
            <v>0</v>
          </cell>
          <cell r="N49">
            <v>0</v>
          </cell>
          <cell r="O49">
            <v>0</v>
          </cell>
          <cell r="P49">
            <v>0</v>
          </cell>
          <cell r="Q49">
            <v>0</v>
          </cell>
          <cell r="R49">
            <v>0</v>
          </cell>
          <cell r="S49">
            <v>0</v>
          </cell>
          <cell r="T49">
            <v>0</v>
          </cell>
          <cell r="X49">
            <v>2218</v>
          </cell>
        </row>
        <row r="50">
          <cell r="I50"/>
          <cell r="J50"/>
          <cell r="K50"/>
          <cell r="L50"/>
          <cell r="M50"/>
          <cell r="N50">
            <v>3500</v>
          </cell>
          <cell r="O50"/>
          <cell r="P50"/>
          <cell r="Q50"/>
          <cell r="R50"/>
          <cell r="S50"/>
          <cell r="T50"/>
          <cell r="X50">
            <v>15846.94</v>
          </cell>
        </row>
        <row r="51">
          <cell r="X51">
            <v>4265.99</v>
          </cell>
        </row>
        <row r="52">
          <cell r="I52">
            <v>25</v>
          </cell>
          <cell r="J52">
            <v>25</v>
          </cell>
          <cell r="K52">
            <v>25</v>
          </cell>
          <cell r="L52">
            <v>25</v>
          </cell>
          <cell r="M52">
            <v>0</v>
          </cell>
          <cell r="N52">
            <v>0</v>
          </cell>
          <cell r="O52">
            <v>825</v>
          </cell>
          <cell r="P52">
            <v>0</v>
          </cell>
          <cell r="Q52">
            <v>0</v>
          </cell>
          <cell r="R52">
            <v>0</v>
          </cell>
          <cell r="S52">
            <v>25</v>
          </cell>
          <cell r="T52">
            <v>25</v>
          </cell>
          <cell r="X52">
            <v>975</v>
          </cell>
        </row>
        <row r="53">
          <cell r="I53">
            <v>80</v>
          </cell>
          <cell r="J53">
            <v>80</v>
          </cell>
          <cell r="K53">
            <v>80</v>
          </cell>
          <cell r="L53">
            <v>80</v>
          </cell>
          <cell r="M53">
            <v>80</v>
          </cell>
          <cell r="N53">
            <v>80</v>
          </cell>
          <cell r="O53">
            <v>80</v>
          </cell>
          <cell r="P53">
            <v>80</v>
          </cell>
          <cell r="Q53">
            <v>80</v>
          </cell>
          <cell r="R53">
            <v>80</v>
          </cell>
          <cell r="S53">
            <v>80</v>
          </cell>
          <cell r="T53">
            <v>80</v>
          </cell>
          <cell r="X53">
            <v>847.09</v>
          </cell>
        </row>
        <row r="56">
          <cell r="I56">
            <v>1244.0489285714286</v>
          </cell>
          <cell r="J56">
            <v>1244.0489285714286</v>
          </cell>
          <cell r="K56">
            <v>1244.0489285714286</v>
          </cell>
          <cell r="L56">
            <v>1244.0489285714286</v>
          </cell>
          <cell r="M56">
            <v>1244.0489285714286</v>
          </cell>
          <cell r="N56">
            <v>1244.0489285714286</v>
          </cell>
          <cell r="O56">
            <v>1244.0489285714286</v>
          </cell>
          <cell r="P56">
            <v>1244.0489285714286</v>
          </cell>
          <cell r="Q56">
            <v>1244.0489285714286</v>
          </cell>
          <cell r="R56">
            <v>1244.0489285714286</v>
          </cell>
          <cell r="S56">
            <v>1244.0489285714286</v>
          </cell>
          <cell r="T56">
            <v>1244.0489285714286</v>
          </cell>
          <cell r="X56">
            <v>37436.15</v>
          </cell>
        </row>
        <row r="57">
          <cell r="I57">
            <v>541.63607142857154</v>
          </cell>
          <cell r="J57">
            <v>541.63607142857154</v>
          </cell>
          <cell r="K57">
            <v>541.63607142857154</v>
          </cell>
          <cell r="L57">
            <v>541.63607142857154</v>
          </cell>
          <cell r="M57">
            <v>541.63607142857154</v>
          </cell>
          <cell r="N57">
            <v>541.63607142857154</v>
          </cell>
          <cell r="O57">
            <v>541.63607142857154</v>
          </cell>
          <cell r="P57">
            <v>541.63607142857154</v>
          </cell>
          <cell r="Q57">
            <v>541.63607142857154</v>
          </cell>
          <cell r="R57">
            <v>541.63607142857154</v>
          </cell>
          <cell r="S57">
            <v>541.63607142857154</v>
          </cell>
          <cell r="T57">
            <v>541.63607142857154</v>
          </cell>
          <cell r="X57">
            <v>14726.02</v>
          </cell>
        </row>
        <row r="62">
          <cell r="I62">
            <v>180000</v>
          </cell>
          <cell r="J62">
            <v>0</v>
          </cell>
          <cell r="K62">
            <v>0</v>
          </cell>
          <cell r="L62">
            <v>0</v>
          </cell>
          <cell r="M62">
            <v>0</v>
          </cell>
          <cell r="N62">
            <v>0</v>
          </cell>
          <cell r="O62">
            <v>0</v>
          </cell>
          <cell r="P62">
            <v>0</v>
          </cell>
          <cell r="Q62">
            <v>0</v>
          </cell>
          <cell r="R62">
            <v>0</v>
          </cell>
          <cell r="S62">
            <v>0</v>
          </cell>
          <cell r="T62">
            <v>0</v>
          </cell>
          <cell r="X62">
            <v>233306.07</v>
          </cell>
        </row>
        <row r="64">
          <cell r="I64">
            <v>0</v>
          </cell>
          <cell r="J64">
            <v>75000</v>
          </cell>
          <cell r="K64">
            <v>0</v>
          </cell>
          <cell r="L64">
            <v>0</v>
          </cell>
          <cell r="M64">
            <v>0</v>
          </cell>
          <cell r="N64">
            <v>0</v>
          </cell>
          <cell r="O64">
            <v>0</v>
          </cell>
          <cell r="P64">
            <v>0</v>
          </cell>
          <cell r="Q64">
            <v>0</v>
          </cell>
          <cell r="R64">
            <v>0</v>
          </cell>
          <cell r="S64">
            <v>0</v>
          </cell>
          <cell r="T64">
            <v>0</v>
          </cell>
          <cell r="X64">
            <v>122512.47</v>
          </cell>
        </row>
        <row r="67">
          <cell r="U67">
            <v>6632784.8324999996</v>
          </cell>
        </row>
        <row r="71">
          <cell r="I71">
            <v>0</v>
          </cell>
          <cell r="J71">
            <v>0</v>
          </cell>
          <cell r="K71">
            <v>0</v>
          </cell>
          <cell r="L71">
            <v>0</v>
          </cell>
          <cell r="M71">
            <v>0</v>
          </cell>
          <cell r="N71">
            <v>0</v>
          </cell>
          <cell r="O71">
            <v>0</v>
          </cell>
          <cell r="P71">
            <v>0</v>
          </cell>
          <cell r="Q71">
            <v>0</v>
          </cell>
          <cell r="R71">
            <v>0</v>
          </cell>
          <cell r="S71">
            <v>0</v>
          </cell>
          <cell r="T71">
            <v>1340568.7044166666</v>
          </cell>
          <cell r="X71">
            <v>969635.2</v>
          </cell>
        </row>
        <row r="72">
          <cell r="I72">
            <v>500</v>
          </cell>
          <cell r="J72">
            <v>500</v>
          </cell>
          <cell r="K72">
            <v>500</v>
          </cell>
          <cell r="L72">
            <v>500</v>
          </cell>
          <cell r="M72">
            <v>500</v>
          </cell>
          <cell r="N72">
            <v>500</v>
          </cell>
          <cell r="O72">
            <v>500</v>
          </cell>
          <cell r="P72">
            <v>500</v>
          </cell>
          <cell r="Q72">
            <v>700</v>
          </cell>
          <cell r="R72">
            <v>700</v>
          </cell>
          <cell r="S72">
            <v>700</v>
          </cell>
          <cell r="T72">
            <v>700</v>
          </cell>
          <cell r="X72">
            <v>5375.88</v>
          </cell>
        </row>
        <row r="74">
          <cell r="I74">
            <v>25</v>
          </cell>
          <cell r="J74">
            <v>0</v>
          </cell>
          <cell r="K74">
            <v>0</v>
          </cell>
          <cell r="L74">
            <v>25</v>
          </cell>
          <cell r="M74">
            <v>0</v>
          </cell>
          <cell r="N74">
            <v>0</v>
          </cell>
          <cell r="O74">
            <v>25</v>
          </cell>
          <cell r="P74">
            <v>0</v>
          </cell>
          <cell r="Q74">
            <v>0</v>
          </cell>
          <cell r="R74">
            <v>25</v>
          </cell>
          <cell r="S74">
            <v>0</v>
          </cell>
          <cell r="T74">
            <v>0</v>
          </cell>
          <cell r="X74">
            <v>13267.25</v>
          </cell>
        </row>
        <row r="75">
          <cell r="I75">
            <v>100</v>
          </cell>
          <cell r="J75">
            <v>100</v>
          </cell>
          <cell r="K75">
            <v>100</v>
          </cell>
          <cell r="L75">
            <v>100</v>
          </cell>
          <cell r="M75">
            <v>100</v>
          </cell>
          <cell r="N75">
            <v>100</v>
          </cell>
          <cell r="O75">
            <v>100</v>
          </cell>
          <cell r="P75">
            <v>100</v>
          </cell>
          <cell r="Q75">
            <v>100</v>
          </cell>
          <cell r="R75">
            <v>100</v>
          </cell>
          <cell r="S75">
            <v>100</v>
          </cell>
          <cell r="T75">
            <v>100</v>
          </cell>
          <cell r="X75">
            <v>1000</v>
          </cell>
        </row>
        <row r="76">
          <cell r="I76">
            <v>0</v>
          </cell>
          <cell r="J76">
            <v>0</v>
          </cell>
          <cell r="K76">
            <v>0</v>
          </cell>
          <cell r="L76">
            <v>0</v>
          </cell>
          <cell r="M76">
            <v>0</v>
          </cell>
          <cell r="N76">
            <v>0</v>
          </cell>
          <cell r="O76">
            <v>0</v>
          </cell>
          <cell r="P76">
            <v>0</v>
          </cell>
          <cell r="Q76">
            <v>0</v>
          </cell>
          <cell r="R76">
            <v>0</v>
          </cell>
          <cell r="S76">
            <v>0</v>
          </cell>
          <cell r="T76">
            <v>0</v>
          </cell>
          <cell r="X76">
            <v>391.65</v>
          </cell>
        </row>
        <row r="77">
          <cell r="I77">
            <v>600</v>
          </cell>
          <cell r="J77">
            <v>1100</v>
          </cell>
          <cell r="K77">
            <v>3100</v>
          </cell>
          <cell r="L77">
            <v>600</v>
          </cell>
          <cell r="M77">
            <v>600</v>
          </cell>
          <cell r="N77">
            <v>600</v>
          </cell>
          <cell r="O77">
            <v>600</v>
          </cell>
          <cell r="P77">
            <v>600</v>
          </cell>
          <cell r="Q77">
            <v>600</v>
          </cell>
          <cell r="R77">
            <v>600</v>
          </cell>
          <cell r="S77">
            <v>600</v>
          </cell>
          <cell r="T77">
            <v>600</v>
          </cell>
          <cell r="X77">
            <v>7483.74</v>
          </cell>
        </row>
        <row r="78">
          <cell r="I78">
            <v>500</v>
          </cell>
          <cell r="J78">
            <v>500</v>
          </cell>
          <cell r="K78">
            <v>500</v>
          </cell>
          <cell r="L78">
            <v>500</v>
          </cell>
          <cell r="M78">
            <v>500</v>
          </cell>
          <cell r="N78">
            <v>500</v>
          </cell>
          <cell r="O78">
            <v>500</v>
          </cell>
          <cell r="P78">
            <v>500</v>
          </cell>
          <cell r="Q78">
            <v>500</v>
          </cell>
          <cell r="R78">
            <v>500</v>
          </cell>
          <cell r="S78">
            <v>500</v>
          </cell>
          <cell r="T78">
            <v>500</v>
          </cell>
          <cell r="X78">
            <v>1816.38</v>
          </cell>
        </row>
        <row r="79">
          <cell r="I79">
            <v>10000</v>
          </cell>
          <cell r="J79">
            <v>2500</v>
          </cell>
          <cell r="K79">
            <v>10000</v>
          </cell>
          <cell r="L79">
            <v>2500</v>
          </cell>
          <cell r="M79">
            <v>0</v>
          </cell>
          <cell r="N79">
            <v>0</v>
          </cell>
          <cell r="O79">
            <v>0</v>
          </cell>
          <cell r="P79">
            <v>0</v>
          </cell>
          <cell r="Q79">
            <v>0</v>
          </cell>
          <cell r="R79">
            <v>0</v>
          </cell>
          <cell r="S79">
            <v>10000</v>
          </cell>
          <cell r="T79">
            <v>2500</v>
          </cell>
          <cell r="X79">
            <v>4162.92</v>
          </cell>
        </row>
        <row r="81">
          <cell r="I81">
            <v>1921.3848039215686</v>
          </cell>
          <cell r="J81">
            <v>1921.3848039215686</v>
          </cell>
          <cell r="K81">
            <v>1921.3848039215686</v>
          </cell>
          <cell r="L81">
            <v>1921.3848039215686</v>
          </cell>
          <cell r="M81">
            <v>1921.3848039215686</v>
          </cell>
          <cell r="N81">
            <v>1921.3848039215686</v>
          </cell>
          <cell r="O81">
            <v>1921.3848039215686</v>
          </cell>
          <cell r="P81">
            <v>1921.3848039215686</v>
          </cell>
          <cell r="Q81">
            <v>6221.3848039215691</v>
          </cell>
          <cell r="R81">
            <v>2721.3848039215691</v>
          </cell>
          <cell r="S81">
            <v>2721.3848039215691</v>
          </cell>
          <cell r="T81">
            <v>2721.3848039215691</v>
          </cell>
          <cell r="X81">
            <v>20791.39</v>
          </cell>
        </row>
        <row r="82">
          <cell r="I82">
            <v>1458.3333333333333</v>
          </cell>
          <cell r="J82">
            <v>1458.3333333333333</v>
          </cell>
          <cell r="K82">
            <v>1458.3333333333333</v>
          </cell>
          <cell r="L82">
            <v>1458.3333333333333</v>
          </cell>
          <cell r="M82">
            <v>1458.3333333333333</v>
          </cell>
          <cell r="N82">
            <v>1458.3333333333333</v>
          </cell>
          <cell r="O82">
            <v>1458.3333333333333</v>
          </cell>
          <cell r="P82">
            <v>1458.3333333333333</v>
          </cell>
          <cell r="Q82">
            <v>2658.333333333333</v>
          </cell>
          <cell r="R82">
            <v>2658.333333333333</v>
          </cell>
          <cell r="S82">
            <v>2658.333333333333</v>
          </cell>
          <cell r="T82">
            <v>2658.333333333333</v>
          </cell>
          <cell r="X82">
            <v>13452.99</v>
          </cell>
        </row>
        <row r="87">
          <cell r="I87">
            <v>0</v>
          </cell>
          <cell r="J87">
            <v>0</v>
          </cell>
          <cell r="K87">
            <v>0</v>
          </cell>
          <cell r="L87">
            <v>0</v>
          </cell>
          <cell r="M87">
            <v>0</v>
          </cell>
          <cell r="N87">
            <v>0</v>
          </cell>
          <cell r="O87">
            <v>0</v>
          </cell>
          <cell r="P87">
            <v>0</v>
          </cell>
          <cell r="Q87">
            <v>0</v>
          </cell>
          <cell r="R87">
            <v>575</v>
          </cell>
          <cell r="S87">
            <v>0</v>
          </cell>
          <cell r="T87">
            <v>0</v>
          </cell>
          <cell r="X87">
            <v>75</v>
          </cell>
        </row>
        <row r="88">
          <cell r="I88">
            <v>168000</v>
          </cell>
          <cell r="J88">
            <v>0</v>
          </cell>
          <cell r="K88">
            <v>0</v>
          </cell>
          <cell r="L88">
            <v>0</v>
          </cell>
          <cell r="M88">
            <v>0</v>
          </cell>
          <cell r="N88">
            <v>84000</v>
          </cell>
          <cell r="O88">
            <v>84000</v>
          </cell>
          <cell r="P88">
            <v>0</v>
          </cell>
          <cell r="Q88">
            <v>168000</v>
          </cell>
          <cell r="R88">
            <v>168000</v>
          </cell>
          <cell r="S88">
            <v>-252000</v>
          </cell>
          <cell r="T88">
            <v>168000</v>
          </cell>
          <cell r="X88">
            <v>337462.07</v>
          </cell>
        </row>
        <row r="89">
          <cell r="I89">
            <v>114</v>
          </cell>
          <cell r="J89">
            <v>3100</v>
          </cell>
          <cell r="K89">
            <v>100</v>
          </cell>
          <cell r="L89">
            <v>0</v>
          </cell>
          <cell r="M89">
            <v>0</v>
          </cell>
          <cell r="N89">
            <v>1507</v>
          </cell>
          <cell r="O89">
            <v>1500</v>
          </cell>
          <cell r="P89">
            <v>14</v>
          </cell>
          <cell r="Q89">
            <v>0</v>
          </cell>
          <cell r="R89">
            <v>1500</v>
          </cell>
          <cell r="S89">
            <v>114</v>
          </cell>
          <cell r="T89">
            <v>3000</v>
          </cell>
          <cell r="X89">
            <v>9800.7999999999993</v>
          </cell>
        </row>
        <row r="90">
          <cell r="I90">
            <v>0</v>
          </cell>
          <cell r="J90">
            <v>0</v>
          </cell>
          <cell r="K90">
            <v>0</v>
          </cell>
          <cell r="L90">
            <v>0</v>
          </cell>
          <cell r="M90">
            <v>0</v>
          </cell>
          <cell r="N90">
            <v>11000</v>
          </cell>
          <cell r="O90">
            <v>0</v>
          </cell>
          <cell r="P90">
            <v>0</v>
          </cell>
          <cell r="Q90">
            <v>0</v>
          </cell>
          <cell r="R90">
            <v>0</v>
          </cell>
          <cell r="S90">
            <v>0</v>
          </cell>
          <cell r="T90">
            <v>0</v>
          </cell>
          <cell r="X90">
            <v>12590.84</v>
          </cell>
        </row>
        <row r="91">
          <cell r="I91">
            <v>52</v>
          </cell>
          <cell r="J91">
            <v>0</v>
          </cell>
          <cell r="K91">
            <v>0</v>
          </cell>
          <cell r="L91">
            <v>0</v>
          </cell>
          <cell r="M91">
            <v>26</v>
          </cell>
          <cell r="N91">
            <v>26</v>
          </cell>
          <cell r="O91">
            <v>825</v>
          </cell>
          <cell r="P91">
            <v>56</v>
          </cell>
          <cell r="Q91">
            <v>26</v>
          </cell>
          <cell r="R91">
            <v>0</v>
          </cell>
          <cell r="S91">
            <v>56</v>
          </cell>
          <cell r="T91">
            <v>0</v>
          </cell>
          <cell r="X91">
            <v>1323.25</v>
          </cell>
        </row>
        <row r="92">
          <cell r="I92">
            <v>27.5</v>
          </cell>
          <cell r="J92">
            <v>27.5</v>
          </cell>
          <cell r="K92">
            <v>27.5</v>
          </cell>
          <cell r="L92">
            <v>27.5</v>
          </cell>
          <cell r="M92">
            <v>27.5</v>
          </cell>
          <cell r="N92">
            <v>27.5</v>
          </cell>
          <cell r="O92">
            <v>12.5</v>
          </cell>
          <cell r="P92">
            <v>42.5</v>
          </cell>
          <cell r="Q92">
            <v>252.5</v>
          </cell>
          <cell r="R92">
            <v>12.5</v>
          </cell>
          <cell r="S92">
            <v>57.5</v>
          </cell>
          <cell r="T92">
            <v>27.5</v>
          </cell>
          <cell r="X92">
            <v>501</v>
          </cell>
        </row>
        <row r="93">
          <cell r="I93">
            <v>1800</v>
          </cell>
          <cell r="J93">
            <v>1100</v>
          </cell>
          <cell r="K93">
            <v>800</v>
          </cell>
          <cell r="L93">
            <v>800</v>
          </cell>
          <cell r="M93">
            <v>1100</v>
          </cell>
          <cell r="N93">
            <v>800</v>
          </cell>
          <cell r="O93">
            <v>800</v>
          </cell>
          <cell r="P93">
            <v>800</v>
          </cell>
          <cell r="Q93">
            <v>1350</v>
          </cell>
          <cell r="R93">
            <v>1050</v>
          </cell>
          <cell r="S93">
            <v>1350</v>
          </cell>
          <cell r="T93">
            <v>1050</v>
          </cell>
          <cell r="X93">
            <v>3784.65</v>
          </cell>
        </row>
        <row r="94">
          <cell r="I94">
            <v>0</v>
          </cell>
          <cell r="J94">
            <v>0</v>
          </cell>
          <cell r="K94">
            <v>0</v>
          </cell>
          <cell r="L94">
            <v>0</v>
          </cell>
          <cell r="M94">
            <v>0</v>
          </cell>
          <cell r="N94">
            <v>0</v>
          </cell>
          <cell r="O94">
            <v>0</v>
          </cell>
          <cell r="P94">
            <v>0</v>
          </cell>
          <cell r="Q94">
            <v>0</v>
          </cell>
          <cell r="R94">
            <v>12500</v>
          </cell>
          <cell r="S94">
            <v>0</v>
          </cell>
          <cell r="T94">
            <v>-2500</v>
          </cell>
          <cell r="X94">
            <v>0</v>
          </cell>
        </row>
        <row r="95">
          <cell r="I95">
            <v>0</v>
          </cell>
          <cell r="J95">
            <v>0</v>
          </cell>
          <cell r="K95">
            <v>50</v>
          </cell>
          <cell r="L95">
            <v>0</v>
          </cell>
          <cell r="M95">
            <v>0</v>
          </cell>
          <cell r="N95">
            <v>0</v>
          </cell>
          <cell r="O95">
            <v>0</v>
          </cell>
          <cell r="P95">
            <v>0</v>
          </cell>
          <cell r="Q95">
            <v>50</v>
          </cell>
          <cell r="R95">
            <v>0</v>
          </cell>
          <cell r="S95">
            <v>0</v>
          </cell>
          <cell r="T95">
            <v>0</v>
          </cell>
          <cell r="X95">
            <v>255.16</v>
          </cell>
        </row>
        <row r="96">
          <cell r="I96">
            <v>525</v>
          </cell>
          <cell r="J96">
            <v>75</v>
          </cell>
          <cell r="K96">
            <v>75</v>
          </cell>
          <cell r="L96">
            <v>75</v>
          </cell>
          <cell r="M96">
            <v>75</v>
          </cell>
          <cell r="N96">
            <v>75</v>
          </cell>
          <cell r="O96">
            <v>75</v>
          </cell>
          <cell r="P96">
            <v>75</v>
          </cell>
          <cell r="Q96">
            <v>75</v>
          </cell>
          <cell r="R96">
            <v>75</v>
          </cell>
          <cell r="S96">
            <v>75</v>
          </cell>
          <cell r="T96">
            <v>75</v>
          </cell>
          <cell r="X96">
            <v>555.53</v>
          </cell>
        </row>
        <row r="97">
          <cell r="I97">
            <v>0</v>
          </cell>
          <cell r="J97">
            <v>0</v>
          </cell>
          <cell r="K97">
            <v>0</v>
          </cell>
          <cell r="L97">
            <v>0</v>
          </cell>
          <cell r="M97">
            <v>0</v>
          </cell>
          <cell r="N97">
            <v>0</v>
          </cell>
          <cell r="O97">
            <v>0</v>
          </cell>
          <cell r="P97">
            <v>0</v>
          </cell>
          <cell r="Q97">
            <v>0</v>
          </cell>
          <cell r="R97">
            <v>0</v>
          </cell>
          <cell r="S97">
            <v>0</v>
          </cell>
          <cell r="T97">
            <v>0</v>
          </cell>
          <cell r="X97">
            <v>2462.54</v>
          </cell>
        </row>
        <row r="98">
          <cell r="I98">
            <v>0</v>
          </cell>
          <cell r="J98">
            <v>0</v>
          </cell>
          <cell r="K98">
            <v>150</v>
          </cell>
          <cell r="L98">
            <v>147</v>
          </cell>
          <cell r="M98">
            <v>0</v>
          </cell>
          <cell r="N98">
            <v>110</v>
          </cell>
          <cell r="O98">
            <v>200</v>
          </cell>
          <cell r="P98">
            <v>0</v>
          </cell>
          <cell r="Q98">
            <v>0</v>
          </cell>
          <cell r="R98">
            <v>0</v>
          </cell>
          <cell r="S98">
            <v>55</v>
          </cell>
          <cell r="T98">
            <v>0</v>
          </cell>
          <cell r="X98">
            <v>817.75</v>
          </cell>
        </row>
        <row r="99">
          <cell r="I99">
            <v>0</v>
          </cell>
          <cell r="J99">
            <v>0</v>
          </cell>
          <cell r="K99">
            <v>600</v>
          </cell>
          <cell r="L99">
            <v>40</v>
          </cell>
          <cell r="M99">
            <v>40</v>
          </cell>
          <cell r="N99">
            <v>190</v>
          </cell>
          <cell r="O99">
            <v>540</v>
          </cell>
          <cell r="P99">
            <v>0</v>
          </cell>
          <cell r="Q99">
            <v>100</v>
          </cell>
          <cell r="R99">
            <v>50</v>
          </cell>
          <cell r="S99">
            <v>0</v>
          </cell>
          <cell r="T99">
            <v>1000</v>
          </cell>
          <cell r="X99">
            <v>417.84</v>
          </cell>
        </row>
        <row r="100">
          <cell r="I100">
            <v>175</v>
          </cell>
          <cell r="J100">
            <v>175</v>
          </cell>
          <cell r="K100">
            <v>175</v>
          </cell>
          <cell r="L100">
            <v>175</v>
          </cell>
          <cell r="M100">
            <v>175</v>
          </cell>
          <cell r="N100">
            <v>175</v>
          </cell>
          <cell r="O100">
            <v>175</v>
          </cell>
          <cell r="P100">
            <v>25</v>
          </cell>
          <cell r="Q100">
            <v>25</v>
          </cell>
          <cell r="R100">
            <v>25</v>
          </cell>
          <cell r="S100">
            <v>25</v>
          </cell>
          <cell r="T100">
            <v>25</v>
          </cell>
          <cell r="X100">
            <v>806.85</v>
          </cell>
        </row>
        <row r="102">
          <cell r="I102">
            <v>850</v>
          </cell>
          <cell r="J102">
            <v>0</v>
          </cell>
          <cell r="K102">
            <v>0</v>
          </cell>
          <cell r="L102">
            <v>0</v>
          </cell>
          <cell r="M102">
            <v>0</v>
          </cell>
          <cell r="N102">
            <v>0</v>
          </cell>
          <cell r="O102">
            <v>1500</v>
          </cell>
          <cell r="P102">
            <v>1500</v>
          </cell>
          <cell r="Q102">
            <v>1500</v>
          </cell>
          <cell r="R102">
            <v>1500</v>
          </cell>
          <cell r="S102">
            <v>1500</v>
          </cell>
          <cell r="T102">
            <v>1500</v>
          </cell>
          <cell r="X102">
            <v>9278.94</v>
          </cell>
        </row>
        <row r="106">
          <cell r="I106">
            <v>21250</v>
          </cell>
          <cell r="J106">
            <v>0</v>
          </cell>
          <cell r="K106">
            <v>0</v>
          </cell>
          <cell r="L106">
            <v>21250</v>
          </cell>
          <cell r="M106">
            <v>0</v>
          </cell>
          <cell r="N106">
            <v>0</v>
          </cell>
          <cell r="O106">
            <v>21250</v>
          </cell>
          <cell r="P106">
            <v>0</v>
          </cell>
          <cell r="Q106">
            <v>0</v>
          </cell>
          <cell r="R106">
            <v>21250</v>
          </cell>
          <cell r="S106">
            <v>0</v>
          </cell>
          <cell r="T106">
            <v>0</v>
          </cell>
          <cell r="X106">
            <v>72007.7</v>
          </cell>
        </row>
        <row r="108">
          <cell r="I108">
            <v>87212.625944666666</v>
          </cell>
          <cell r="J108">
            <v>87212.625944666666</v>
          </cell>
          <cell r="K108">
            <v>87212.625944666666</v>
          </cell>
          <cell r="L108">
            <v>87212.625944666666</v>
          </cell>
          <cell r="M108">
            <v>87212.625944666666</v>
          </cell>
          <cell r="N108">
            <v>87212.625944666666</v>
          </cell>
          <cell r="O108">
            <v>91379.292611333338</v>
          </cell>
          <cell r="P108">
            <v>91379.292611333338</v>
          </cell>
          <cell r="Q108">
            <v>91379.292611333338</v>
          </cell>
          <cell r="R108">
            <v>99005.959278000009</v>
          </cell>
          <cell r="S108">
            <v>99005.95927799998</v>
          </cell>
          <cell r="T108">
            <v>99005.95927799998</v>
          </cell>
          <cell r="X108">
            <v>799732.5</v>
          </cell>
        </row>
        <row r="109">
          <cell r="I109">
            <v>1145.4007416156862</v>
          </cell>
          <cell r="J109">
            <v>1145.4007416156862</v>
          </cell>
          <cell r="K109">
            <v>1145.4007416156862</v>
          </cell>
          <cell r="L109">
            <v>1145.4007416156862</v>
          </cell>
          <cell r="M109">
            <v>1145.4007416156862</v>
          </cell>
          <cell r="N109">
            <v>1145.4007416156862</v>
          </cell>
          <cell r="O109">
            <v>1145.4007416156862</v>
          </cell>
          <cell r="P109">
            <v>1145.4007416156862</v>
          </cell>
          <cell r="Q109">
            <v>1145.4007416156862</v>
          </cell>
          <cell r="R109">
            <v>1145.4007416156862</v>
          </cell>
          <cell r="S109">
            <v>1145.4007416156862</v>
          </cell>
          <cell r="T109">
            <v>1145.4007416156862</v>
          </cell>
          <cell r="X109">
            <v>7294.48</v>
          </cell>
        </row>
        <row r="110">
          <cell r="I110">
            <v>10170.664199999999</v>
          </cell>
          <cell r="J110">
            <v>10170.664199999999</v>
          </cell>
          <cell r="K110">
            <v>10170.664199999999</v>
          </cell>
          <cell r="L110">
            <v>10170.664199999999</v>
          </cell>
          <cell r="M110">
            <v>10170.664199999999</v>
          </cell>
          <cell r="N110">
            <v>10170.664199999999</v>
          </cell>
          <cell r="O110">
            <v>10801.841479999999</v>
          </cell>
          <cell r="P110">
            <v>10801.841479999999</v>
          </cell>
          <cell r="Q110">
            <v>10801.841479999999</v>
          </cell>
          <cell r="R110">
            <v>12695.376039999999</v>
          </cell>
          <cell r="S110">
            <v>12695.376039999999</v>
          </cell>
          <cell r="T110">
            <v>12695.376039999999</v>
          </cell>
          <cell r="X110">
            <v>90298.82</v>
          </cell>
        </row>
        <row r="111">
          <cell r="I111">
            <v>6166.484848484849</v>
          </cell>
          <cell r="J111">
            <v>6166.484848484849</v>
          </cell>
          <cell r="K111">
            <v>6166.484848484849</v>
          </cell>
          <cell r="L111">
            <v>6166.484848484849</v>
          </cell>
          <cell r="M111">
            <v>6166.484848484849</v>
          </cell>
          <cell r="N111">
            <v>6166.484848484849</v>
          </cell>
          <cell r="O111">
            <v>0</v>
          </cell>
          <cell r="P111">
            <v>0</v>
          </cell>
          <cell r="Q111">
            <v>0</v>
          </cell>
          <cell r="R111">
            <v>7983.133333333335</v>
          </cell>
          <cell r="S111">
            <v>7983.133333333335</v>
          </cell>
          <cell r="T111">
            <v>7983.133333333335</v>
          </cell>
          <cell r="X111">
            <v>27542.34</v>
          </cell>
        </row>
        <row r="112">
          <cell r="I112">
            <v>12.5</v>
          </cell>
          <cell r="J112">
            <v>12.5</v>
          </cell>
          <cell r="K112">
            <v>12.5</v>
          </cell>
          <cell r="L112">
            <v>12.5</v>
          </cell>
          <cell r="M112">
            <v>12.5</v>
          </cell>
          <cell r="N112">
            <v>12.5</v>
          </cell>
          <cell r="O112">
            <v>12.5</v>
          </cell>
          <cell r="P112">
            <v>12.5</v>
          </cell>
          <cell r="Q112">
            <v>12.5</v>
          </cell>
          <cell r="R112">
            <v>12.5</v>
          </cell>
          <cell r="S112">
            <v>12.5</v>
          </cell>
          <cell r="T112">
            <v>12.5</v>
          </cell>
        </row>
        <row r="113">
          <cell r="I113">
            <v>1000</v>
          </cell>
          <cell r="J113">
            <v>1000</v>
          </cell>
          <cell r="K113">
            <v>1000</v>
          </cell>
          <cell r="L113">
            <v>1000</v>
          </cell>
          <cell r="M113">
            <v>1000</v>
          </cell>
          <cell r="N113">
            <v>1000</v>
          </cell>
          <cell r="O113">
            <v>1000</v>
          </cell>
          <cell r="P113">
            <v>1000</v>
          </cell>
          <cell r="Q113">
            <v>0</v>
          </cell>
          <cell r="R113">
            <v>0</v>
          </cell>
          <cell r="S113">
            <v>0</v>
          </cell>
          <cell r="T113">
            <v>0</v>
          </cell>
          <cell r="X113">
            <v>2499.9899999999998</v>
          </cell>
        </row>
        <row r="114">
          <cell r="I114">
            <v>10691.299789624998</v>
          </cell>
          <cell r="J114">
            <v>10691.299789624998</v>
          </cell>
          <cell r="K114">
            <v>10691.299789624998</v>
          </cell>
          <cell r="L114">
            <v>10691.299789624998</v>
          </cell>
          <cell r="M114">
            <v>10691.299789624998</v>
          </cell>
          <cell r="N114">
            <v>10691.299789624998</v>
          </cell>
          <cell r="O114">
            <v>11048.694789624999</v>
          </cell>
          <cell r="P114">
            <v>11048.694789624999</v>
          </cell>
          <cell r="Q114">
            <v>11048.694789624999</v>
          </cell>
          <cell r="R114">
            <v>11864.009789624999</v>
          </cell>
          <cell r="S114">
            <v>11864.009789624999</v>
          </cell>
          <cell r="T114">
            <v>11864.009789624999</v>
          </cell>
          <cell r="X114">
            <v>100251.58</v>
          </cell>
        </row>
        <row r="116">
          <cell r="I116">
            <v>2450</v>
          </cell>
          <cell r="J116">
            <v>2450</v>
          </cell>
          <cell r="K116">
            <v>2450</v>
          </cell>
          <cell r="L116">
            <v>2450</v>
          </cell>
          <cell r="M116">
            <v>2450</v>
          </cell>
          <cell r="N116">
            <v>2450</v>
          </cell>
          <cell r="O116">
            <v>2375</v>
          </cell>
          <cell r="P116">
            <v>2375</v>
          </cell>
          <cell r="Q116">
            <v>2783.7093749999999</v>
          </cell>
          <cell r="R116">
            <v>2837.870625</v>
          </cell>
          <cell r="S116">
            <v>2921.7164062500001</v>
          </cell>
          <cell r="T116">
            <v>2946.8181249999998</v>
          </cell>
          <cell r="X116">
            <v>22257.56</v>
          </cell>
        </row>
        <row r="117">
          <cell r="I117">
            <v>163</v>
          </cell>
          <cell r="J117">
            <v>167</v>
          </cell>
          <cell r="K117">
            <v>167</v>
          </cell>
          <cell r="L117">
            <v>167</v>
          </cell>
          <cell r="M117">
            <v>167</v>
          </cell>
          <cell r="N117">
            <v>167</v>
          </cell>
          <cell r="O117">
            <v>167</v>
          </cell>
          <cell r="P117">
            <v>167</v>
          </cell>
          <cell r="Q117">
            <v>167</v>
          </cell>
          <cell r="R117">
            <v>167</v>
          </cell>
          <cell r="S117">
            <v>167</v>
          </cell>
          <cell r="T117">
            <v>167</v>
          </cell>
          <cell r="X117">
            <v>6266.73</v>
          </cell>
        </row>
        <row r="118">
          <cell r="I118">
            <v>3032.0398841354718</v>
          </cell>
          <cell r="J118">
            <v>2717.0398841354718</v>
          </cell>
          <cell r="K118">
            <v>2717.0398841354718</v>
          </cell>
          <cell r="L118">
            <v>2717.0398841354718</v>
          </cell>
          <cell r="M118">
            <v>2917.0398841354718</v>
          </cell>
          <cell r="N118">
            <v>2917.0398841354718</v>
          </cell>
          <cell r="O118">
            <v>3067.0398841354718</v>
          </cell>
          <cell r="P118">
            <v>2717.0398841354718</v>
          </cell>
          <cell r="Q118">
            <v>3007.0398841354718</v>
          </cell>
          <cell r="R118">
            <v>3007.0398841354718</v>
          </cell>
          <cell r="S118">
            <v>3007.0398841354718</v>
          </cell>
          <cell r="T118">
            <v>-9992.9601158645273</v>
          </cell>
          <cell r="X118">
            <v>14337.52</v>
          </cell>
        </row>
        <row r="119">
          <cell r="I119">
            <v>562.91666666666663</v>
          </cell>
          <cell r="J119">
            <v>562.91666666666663</v>
          </cell>
          <cell r="K119">
            <v>562.91666666666663</v>
          </cell>
          <cell r="L119">
            <v>562.91666666666663</v>
          </cell>
          <cell r="M119">
            <v>512.91666666666663</v>
          </cell>
          <cell r="N119">
            <v>512.91666666666663</v>
          </cell>
          <cell r="O119">
            <v>512.91666666666663</v>
          </cell>
          <cell r="P119">
            <v>512.91666666666663</v>
          </cell>
          <cell r="Q119">
            <v>662.91666666666663</v>
          </cell>
          <cell r="R119">
            <v>662.91666666666663</v>
          </cell>
          <cell r="S119">
            <v>712.91666666666663</v>
          </cell>
          <cell r="T119">
            <v>712.91666666666663</v>
          </cell>
          <cell r="X119">
            <v>4104.24</v>
          </cell>
        </row>
        <row r="120">
          <cell r="I120">
            <v>386.02941176470586</v>
          </cell>
          <cell r="J120">
            <v>386.02941176470586</v>
          </cell>
          <cell r="K120">
            <v>386.02941176470586</v>
          </cell>
          <cell r="L120">
            <v>386.02941176470586</v>
          </cell>
          <cell r="M120">
            <v>386.02941176470586</v>
          </cell>
          <cell r="N120">
            <v>386.02941176470586</v>
          </cell>
          <cell r="O120">
            <v>386.02941176470586</v>
          </cell>
          <cell r="P120">
            <v>386.02941176470586</v>
          </cell>
          <cell r="Q120">
            <v>386.02941176470586</v>
          </cell>
          <cell r="R120">
            <v>386.02941176470586</v>
          </cell>
          <cell r="S120">
            <v>386.02941176470586</v>
          </cell>
          <cell r="T120">
            <v>386.02941176470586</v>
          </cell>
          <cell r="X120">
            <v>3452.62</v>
          </cell>
        </row>
        <row r="121">
          <cell r="I121">
            <v>1196.25</v>
          </cell>
          <cell r="J121">
            <v>1196.25</v>
          </cell>
          <cell r="K121">
            <v>1241.25</v>
          </cell>
          <cell r="L121">
            <v>1241.25</v>
          </cell>
          <cell r="M121">
            <v>1241.25</v>
          </cell>
          <cell r="N121">
            <v>1241.25</v>
          </cell>
          <cell r="O121">
            <v>1241.25</v>
          </cell>
          <cell r="P121">
            <v>1741.25</v>
          </cell>
          <cell r="Q121">
            <v>1741.25</v>
          </cell>
          <cell r="R121">
            <v>1741.25</v>
          </cell>
          <cell r="S121">
            <v>1741.25</v>
          </cell>
          <cell r="T121">
            <v>1741.25</v>
          </cell>
          <cell r="X121">
            <v>13374.69</v>
          </cell>
        </row>
        <row r="122">
          <cell r="I122">
            <v>126.21212121212122</v>
          </cell>
          <cell r="J122">
            <v>106.21212121212122</v>
          </cell>
          <cell r="K122">
            <v>106.21212121212122</v>
          </cell>
          <cell r="L122">
            <v>126.21212121212122</v>
          </cell>
          <cell r="M122">
            <v>106.21212121212122</v>
          </cell>
          <cell r="N122">
            <v>113.21212121212122</v>
          </cell>
          <cell r="O122">
            <v>156.21212121212122</v>
          </cell>
          <cell r="P122">
            <v>136.21212121212122</v>
          </cell>
          <cell r="Q122">
            <v>136.21212121212122</v>
          </cell>
          <cell r="R122">
            <v>146.21212121212122</v>
          </cell>
          <cell r="S122">
            <v>106.21212121212122</v>
          </cell>
          <cell r="T122">
            <v>113.21212121212122</v>
          </cell>
          <cell r="X122">
            <v>825.29</v>
          </cell>
        </row>
        <row r="123">
          <cell r="I123">
            <v>581.12745098039215</v>
          </cell>
          <cell r="J123">
            <v>581.12745098039215</v>
          </cell>
          <cell r="K123">
            <v>581.12745098039215</v>
          </cell>
          <cell r="L123">
            <v>581.12745098039215</v>
          </cell>
          <cell r="M123">
            <v>581.12745098039215</v>
          </cell>
          <cell r="N123">
            <v>581.12745098039215</v>
          </cell>
          <cell r="O123">
            <v>581.12745098039215</v>
          </cell>
          <cell r="P123">
            <v>581.12745098039215</v>
          </cell>
          <cell r="Q123">
            <v>706.12745098039215</v>
          </cell>
          <cell r="R123">
            <v>706.12745098039215</v>
          </cell>
          <cell r="S123">
            <v>706.12745098039215</v>
          </cell>
          <cell r="T123">
            <v>706.12745098039215</v>
          </cell>
          <cell r="X123">
            <v>3170.05</v>
          </cell>
        </row>
        <row r="124">
          <cell r="I124">
            <v>100</v>
          </cell>
          <cell r="J124">
            <v>100</v>
          </cell>
          <cell r="K124">
            <v>100</v>
          </cell>
          <cell r="L124">
            <v>100</v>
          </cell>
          <cell r="M124">
            <v>100</v>
          </cell>
          <cell r="N124">
            <v>100</v>
          </cell>
          <cell r="O124">
            <v>100</v>
          </cell>
          <cell r="P124">
            <v>375</v>
          </cell>
          <cell r="Q124">
            <v>100</v>
          </cell>
          <cell r="R124">
            <v>100</v>
          </cell>
          <cell r="S124">
            <v>300</v>
          </cell>
          <cell r="T124">
            <v>100</v>
          </cell>
          <cell r="X124">
            <v>0</v>
          </cell>
        </row>
        <row r="127">
          <cell r="I127">
            <v>4166.666666666667</v>
          </cell>
          <cell r="J127">
            <v>4166.666666666667</v>
          </cell>
          <cell r="K127">
            <v>4166.666666666667</v>
          </cell>
          <cell r="L127">
            <v>4166.666666666667</v>
          </cell>
          <cell r="M127">
            <v>4166.666666666667</v>
          </cell>
          <cell r="N127">
            <v>4166.666666666667</v>
          </cell>
          <cell r="O127">
            <v>4166.666666666667</v>
          </cell>
          <cell r="P127">
            <v>4166.666666666667</v>
          </cell>
          <cell r="Q127">
            <v>4166.666666666667</v>
          </cell>
          <cell r="R127">
            <v>4166.666666666667</v>
          </cell>
          <cell r="S127">
            <v>4166.666666666667</v>
          </cell>
          <cell r="T127">
            <v>4416.666666666667</v>
          </cell>
          <cell r="X127">
            <v>2287.59</v>
          </cell>
        </row>
        <row r="128">
          <cell r="I128">
            <v>550</v>
          </cell>
          <cell r="J128">
            <v>550</v>
          </cell>
          <cell r="K128">
            <v>550</v>
          </cell>
          <cell r="L128">
            <v>550</v>
          </cell>
          <cell r="M128">
            <v>550</v>
          </cell>
          <cell r="N128">
            <v>550</v>
          </cell>
          <cell r="O128">
            <v>550</v>
          </cell>
          <cell r="P128">
            <v>550</v>
          </cell>
          <cell r="Q128">
            <v>550</v>
          </cell>
          <cell r="R128">
            <v>550</v>
          </cell>
          <cell r="S128">
            <v>550</v>
          </cell>
          <cell r="T128">
            <v>550</v>
          </cell>
          <cell r="X128">
            <v>4383.1400000000003</v>
          </cell>
        </row>
        <row r="129">
          <cell r="I129">
            <v>1533.3333333333333</v>
          </cell>
          <cell r="J129">
            <v>1533.3333333333333</v>
          </cell>
          <cell r="K129">
            <v>1533.3333333333333</v>
          </cell>
          <cell r="L129">
            <v>1533.3333333333333</v>
          </cell>
          <cell r="M129">
            <v>1533.3333333333333</v>
          </cell>
          <cell r="N129">
            <v>1533.3333333333333</v>
          </cell>
          <cell r="O129">
            <v>1533.3333333333333</v>
          </cell>
          <cell r="P129">
            <v>2333.333333333333</v>
          </cell>
          <cell r="Q129">
            <v>2333.333333333333</v>
          </cell>
          <cell r="R129">
            <v>2333.333333333333</v>
          </cell>
          <cell r="S129">
            <v>2333.333333333333</v>
          </cell>
          <cell r="T129">
            <v>2333.333333333333</v>
          </cell>
          <cell r="X129">
            <v>14329.48</v>
          </cell>
        </row>
        <row r="130">
          <cell r="I130">
            <v>1929.1666666666667</v>
          </cell>
          <cell r="J130">
            <v>1929.1666666666667</v>
          </cell>
          <cell r="K130">
            <v>1929.1666666666667</v>
          </cell>
          <cell r="L130">
            <v>1929.1666666666667</v>
          </cell>
          <cell r="M130">
            <v>1929.1666666666667</v>
          </cell>
          <cell r="N130">
            <v>1929.1666666666667</v>
          </cell>
          <cell r="O130">
            <v>1929.1666666666667</v>
          </cell>
          <cell r="P130">
            <v>1929.1666666666667</v>
          </cell>
          <cell r="Q130">
            <v>1929.1666666666667</v>
          </cell>
          <cell r="R130">
            <v>2554.166666666667</v>
          </cell>
          <cell r="S130">
            <v>2554.166666666667</v>
          </cell>
          <cell r="T130">
            <v>2554.166666666667</v>
          </cell>
          <cell r="X130">
            <v>18691.14</v>
          </cell>
        </row>
        <row r="131">
          <cell r="I131">
            <v>1202.8499999999999</v>
          </cell>
          <cell r="J131">
            <v>1202.8499999999999</v>
          </cell>
          <cell r="K131">
            <v>1202.8499999999999</v>
          </cell>
          <cell r="L131">
            <v>1202.8499999999999</v>
          </cell>
          <cell r="M131">
            <v>1202.8499999999999</v>
          </cell>
          <cell r="N131">
            <v>1202.8499999999999</v>
          </cell>
          <cell r="O131">
            <v>1202.8499999999999</v>
          </cell>
          <cell r="P131">
            <v>1202.8499999999999</v>
          </cell>
          <cell r="Q131">
            <v>1532.85</v>
          </cell>
          <cell r="R131">
            <v>1532.85</v>
          </cell>
          <cell r="S131">
            <v>1532.85</v>
          </cell>
          <cell r="T131">
            <v>1532.85</v>
          </cell>
          <cell r="X131">
            <v>11769.36</v>
          </cell>
        </row>
        <row r="132">
          <cell r="I132">
            <v>971.52083333333337</v>
          </cell>
          <cell r="J132">
            <v>971.52083333333337</v>
          </cell>
          <cell r="K132">
            <v>971.52083333333337</v>
          </cell>
          <cell r="L132">
            <v>971.52083333333337</v>
          </cell>
          <cell r="M132">
            <v>971.52083333333337</v>
          </cell>
          <cell r="N132">
            <v>971.52083333333337</v>
          </cell>
          <cell r="O132">
            <v>971.52083333333337</v>
          </cell>
          <cell r="P132">
            <v>971.52083333333337</v>
          </cell>
          <cell r="Q132">
            <v>1471.5208333333335</v>
          </cell>
          <cell r="R132">
            <v>1471.5208333333335</v>
          </cell>
          <cell r="S132">
            <v>1471.5208333333335</v>
          </cell>
          <cell r="T132">
            <v>1471.5208333333335</v>
          </cell>
          <cell r="X132">
            <v>10840.2</v>
          </cell>
        </row>
        <row r="136">
          <cell r="I136">
            <v>177.24300000000002</v>
          </cell>
          <cell r="J136">
            <v>228.74700000000001</v>
          </cell>
          <cell r="K136">
            <v>0</v>
          </cell>
          <cell r="L136">
            <v>150.42699999999999</v>
          </cell>
          <cell r="M136">
            <v>142.56200000000001</v>
          </cell>
          <cell r="N136">
            <v>0</v>
          </cell>
          <cell r="O136">
            <v>0</v>
          </cell>
          <cell r="P136">
            <v>214.46700000000001</v>
          </cell>
          <cell r="Q136">
            <v>650</v>
          </cell>
          <cell r="R136">
            <v>0</v>
          </cell>
          <cell r="S136">
            <v>0</v>
          </cell>
          <cell r="T136">
            <v>480.46700000000004</v>
          </cell>
          <cell r="X136">
            <v>955.83</v>
          </cell>
        </row>
        <row r="137">
          <cell r="I137">
            <v>2538.6999378109458</v>
          </cell>
          <cell r="J137">
            <v>0</v>
          </cell>
          <cell r="K137">
            <v>0</v>
          </cell>
          <cell r="L137">
            <v>2535.75</v>
          </cell>
          <cell r="M137">
            <v>0</v>
          </cell>
          <cell r="N137">
            <v>0</v>
          </cell>
          <cell r="O137">
            <v>2535.75</v>
          </cell>
          <cell r="P137">
            <v>175</v>
          </cell>
          <cell r="Q137">
            <v>175</v>
          </cell>
          <cell r="R137">
            <v>2712.8000621890546</v>
          </cell>
          <cell r="S137">
            <v>175</v>
          </cell>
          <cell r="T137">
            <v>175</v>
          </cell>
          <cell r="X137">
            <v>10144.25</v>
          </cell>
        </row>
        <row r="138">
          <cell r="I138">
            <v>1577.5</v>
          </cell>
          <cell r="J138">
            <v>1577.5</v>
          </cell>
          <cell r="K138">
            <v>1577.5</v>
          </cell>
          <cell r="L138">
            <v>1577.5</v>
          </cell>
          <cell r="M138">
            <v>1477.5</v>
          </cell>
          <cell r="N138">
            <v>1477.5</v>
          </cell>
          <cell r="O138">
            <v>1477.5</v>
          </cell>
          <cell r="P138">
            <v>1927.5</v>
          </cell>
          <cell r="Q138">
            <v>1927.5</v>
          </cell>
          <cell r="R138">
            <v>2027.5</v>
          </cell>
          <cell r="S138">
            <v>2027.5</v>
          </cell>
          <cell r="T138">
            <v>2027.5</v>
          </cell>
          <cell r="X138">
            <v>12471.62</v>
          </cell>
        </row>
        <row r="139">
          <cell r="I139">
            <v>1516.6666666666667</v>
          </cell>
          <cell r="J139">
            <v>516.66666666666674</v>
          </cell>
          <cell r="K139">
            <v>516.66666666666674</v>
          </cell>
          <cell r="L139">
            <v>516.66666666666674</v>
          </cell>
          <cell r="M139">
            <v>516.66666666666674</v>
          </cell>
          <cell r="N139">
            <v>516.66666666666674</v>
          </cell>
          <cell r="O139">
            <v>516.66666666666674</v>
          </cell>
          <cell r="P139">
            <v>666.66666666666674</v>
          </cell>
          <cell r="Q139">
            <v>666.66666666666674</v>
          </cell>
          <cell r="R139">
            <v>666.66666666666674</v>
          </cell>
          <cell r="S139">
            <v>666.66666666666674</v>
          </cell>
          <cell r="T139">
            <v>666.66666666666674</v>
          </cell>
          <cell r="X139">
            <v>14347.2</v>
          </cell>
        </row>
        <row r="140">
          <cell r="I140">
            <v>1875</v>
          </cell>
          <cell r="J140">
            <v>1875</v>
          </cell>
          <cell r="K140">
            <v>1875</v>
          </cell>
          <cell r="L140">
            <v>1875</v>
          </cell>
          <cell r="M140">
            <v>1875</v>
          </cell>
          <cell r="N140">
            <v>1875</v>
          </cell>
          <cell r="O140">
            <v>1875</v>
          </cell>
          <cell r="P140">
            <v>2875</v>
          </cell>
          <cell r="Q140">
            <v>2875</v>
          </cell>
          <cell r="R140">
            <v>2875</v>
          </cell>
          <cell r="S140">
            <v>2875</v>
          </cell>
          <cell r="T140">
            <v>2875</v>
          </cell>
          <cell r="X140">
            <v>9749.08</v>
          </cell>
        </row>
        <row r="142">
          <cell r="I142">
            <v>200</v>
          </cell>
          <cell r="J142">
            <v>200</v>
          </cell>
          <cell r="K142">
            <v>200</v>
          </cell>
          <cell r="L142">
            <v>200</v>
          </cell>
          <cell r="M142">
            <v>200</v>
          </cell>
          <cell r="N142">
            <v>200</v>
          </cell>
          <cell r="O142">
            <v>200</v>
          </cell>
          <cell r="P142">
            <v>200</v>
          </cell>
          <cell r="Q142">
            <v>200</v>
          </cell>
          <cell r="R142">
            <v>200</v>
          </cell>
          <cell r="S142">
            <v>200</v>
          </cell>
          <cell r="T142">
            <v>200</v>
          </cell>
          <cell r="X142">
            <v>4458.7700000000004</v>
          </cell>
        </row>
        <row r="144">
          <cell r="I144">
            <v>0</v>
          </cell>
          <cell r="J144">
            <v>0</v>
          </cell>
          <cell r="K144">
            <v>0</v>
          </cell>
          <cell r="L144">
            <v>250</v>
          </cell>
          <cell r="M144">
            <v>250</v>
          </cell>
          <cell r="N144">
            <v>250</v>
          </cell>
          <cell r="O144">
            <v>250</v>
          </cell>
          <cell r="P144">
            <v>250</v>
          </cell>
          <cell r="Q144">
            <v>250</v>
          </cell>
          <cell r="R144">
            <v>250</v>
          </cell>
          <cell r="S144">
            <v>250</v>
          </cell>
          <cell r="T144">
            <v>250</v>
          </cell>
          <cell r="X144">
            <v>1131.32</v>
          </cell>
        </row>
        <row r="148">
          <cell r="I148">
            <v>6500</v>
          </cell>
          <cell r="J148">
            <v>6500</v>
          </cell>
          <cell r="K148">
            <v>6500</v>
          </cell>
          <cell r="L148">
            <v>6500</v>
          </cell>
          <cell r="M148">
            <v>6500</v>
          </cell>
          <cell r="N148">
            <v>6500</v>
          </cell>
          <cell r="O148">
            <v>6500</v>
          </cell>
          <cell r="P148">
            <v>11500</v>
          </cell>
          <cell r="Q148">
            <v>10000</v>
          </cell>
          <cell r="R148">
            <v>8500</v>
          </cell>
          <cell r="S148">
            <v>7500</v>
          </cell>
          <cell r="T148">
            <v>7500</v>
          </cell>
          <cell r="X148">
            <v>61998.31</v>
          </cell>
        </row>
        <row r="149">
          <cell r="I149">
            <v>1844.7619047619048</v>
          </cell>
          <cell r="J149">
            <v>3194.761904761905</v>
          </cell>
          <cell r="K149">
            <v>1619.7619047619048</v>
          </cell>
          <cell r="L149">
            <v>1394.7619047619048</v>
          </cell>
          <cell r="M149">
            <v>1394.7619047619048</v>
          </cell>
          <cell r="N149">
            <v>1394.7619047619048</v>
          </cell>
          <cell r="O149">
            <v>1394.7619047619048</v>
          </cell>
          <cell r="P149">
            <v>1394.7619047619048</v>
          </cell>
          <cell r="Q149">
            <v>1394.7619047619048</v>
          </cell>
          <cell r="R149">
            <v>6394.7619047619046</v>
          </cell>
          <cell r="S149">
            <v>1394.7619047619048</v>
          </cell>
          <cell r="T149">
            <v>1394.7619047619048</v>
          </cell>
          <cell r="X149">
            <v>18234.400000000001</v>
          </cell>
        </row>
        <row r="150">
          <cell r="I150">
            <v>333.33333333333337</v>
          </cell>
          <cell r="J150">
            <v>233.33333333333334</v>
          </cell>
          <cell r="K150">
            <v>388.33333333333337</v>
          </cell>
          <cell r="L150">
            <v>1158.3333333333335</v>
          </cell>
          <cell r="M150">
            <v>233.33333333333334</v>
          </cell>
          <cell r="N150">
            <v>350.83333333333337</v>
          </cell>
          <cell r="O150">
            <v>333.33333333333337</v>
          </cell>
          <cell r="P150">
            <v>558.33333333333337</v>
          </cell>
          <cell r="Q150">
            <v>400.83333333333337</v>
          </cell>
          <cell r="R150">
            <v>383.33333333333337</v>
          </cell>
          <cell r="S150">
            <v>283.33333333333337</v>
          </cell>
          <cell r="T150">
            <v>438.33333333333337</v>
          </cell>
          <cell r="X150">
            <v>2099.91</v>
          </cell>
        </row>
        <row r="152">
          <cell r="I152">
            <v>46.75</v>
          </cell>
          <cell r="J152">
            <v>46.75</v>
          </cell>
          <cell r="K152">
            <v>46.75</v>
          </cell>
          <cell r="L152">
            <v>46.75</v>
          </cell>
          <cell r="M152">
            <v>46.75</v>
          </cell>
          <cell r="N152">
            <v>46.75</v>
          </cell>
          <cell r="O152">
            <v>46.75</v>
          </cell>
          <cell r="P152">
            <v>46.75</v>
          </cell>
          <cell r="Q152">
            <v>46.75</v>
          </cell>
          <cell r="R152">
            <v>46.75</v>
          </cell>
          <cell r="S152">
            <v>46.75</v>
          </cell>
          <cell r="T152">
            <v>46.75</v>
          </cell>
          <cell r="X152">
            <v>448.58</v>
          </cell>
        </row>
        <row r="154">
          <cell r="I154">
            <v>0</v>
          </cell>
          <cell r="J154">
            <v>0</v>
          </cell>
          <cell r="K154">
            <v>0</v>
          </cell>
          <cell r="L154">
            <v>0</v>
          </cell>
          <cell r="M154">
            <v>0</v>
          </cell>
          <cell r="N154">
            <v>0</v>
          </cell>
          <cell r="O154">
            <v>50</v>
          </cell>
          <cell r="P154">
            <v>250</v>
          </cell>
          <cell r="Q154">
            <v>50</v>
          </cell>
          <cell r="R154">
            <v>50</v>
          </cell>
          <cell r="S154">
            <v>50</v>
          </cell>
          <cell r="T154">
            <v>50</v>
          </cell>
          <cell r="X154">
            <v>299</v>
          </cell>
        </row>
        <row r="155">
          <cell r="I155">
            <v>1529.1803921568628</v>
          </cell>
          <cell r="J155">
            <v>1129.1803921568628</v>
          </cell>
          <cell r="K155">
            <v>1279.1803921568628</v>
          </cell>
          <cell r="L155">
            <v>1529.1803921568628</v>
          </cell>
          <cell r="M155">
            <v>1129.1803921568628</v>
          </cell>
          <cell r="N155">
            <v>1129.1803921568628</v>
          </cell>
          <cell r="O155">
            <v>1629.1803921568628</v>
          </cell>
          <cell r="P155">
            <v>2629.180392156863</v>
          </cell>
          <cell r="Q155">
            <v>6889.1803921568635</v>
          </cell>
          <cell r="R155">
            <v>1529.1803921568628</v>
          </cell>
          <cell r="S155">
            <v>1239.1803921568628</v>
          </cell>
          <cell r="T155">
            <v>-1470.8196078431372</v>
          </cell>
          <cell r="X155">
            <v>8981.3799999999992</v>
          </cell>
        </row>
        <row r="157">
          <cell r="I157">
            <v>2590.4</v>
          </cell>
          <cell r="J157">
            <v>2657.8</v>
          </cell>
          <cell r="K157">
            <v>2639.11</v>
          </cell>
          <cell r="L157">
            <v>2535.83</v>
          </cell>
          <cell r="M157">
            <v>2601.1999999999998</v>
          </cell>
          <cell r="N157">
            <v>2498.9899999999998</v>
          </cell>
          <cell r="O157">
            <v>2562.9899999999998</v>
          </cell>
          <cell r="P157">
            <v>2543.94</v>
          </cell>
          <cell r="Q157">
            <v>2280.48</v>
          </cell>
          <cell r="R157">
            <v>14504.67</v>
          </cell>
          <cell r="S157">
            <v>14405.22</v>
          </cell>
          <cell r="T157">
            <v>14465.73</v>
          </cell>
          <cell r="X157">
            <v>24965.29</v>
          </cell>
        </row>
        <row r="159">
          <cell r="I159">
            <v>858.33333333333337</v>
          </cell>
          <cell r="J159">
            <v>858.33333333333337</v>
          </cell>
          <cell r="K159">
            <v>858.33333333333337</v>
          </cell>
          <cell r="L159">
            <v>858.33333333333337</v>
          </cell>
          <cell r="M159">
            <v>858.33333333333337</v>
          </cell>
          <cell r="N159">
            <v>858.33333333333337</v>
          </cell>
          <cell r="O159">
            <v>858.33333333333337</v>
          </cell>
          <cell r="P159">
            <v>858.33333333333337</v>
          </cell>
          <cell r="Q159">
            <v>858.33333333333337</v>
          </cell>
          <cell r="R159">
            <v>858.33333333333337</v>
          </cell>
          <cell r="S159">
            <v>858.33333333333337</v>
          </cell>
          <cell r="T159">
            <v>858.33333333333337</v>
          </cell>
          <cell r="X159">
            <v>8583.2999999999993</v>
          </cell>
        </row>
        <row r="160">
          <cell r="I160">
            <v>892.51380952380941</v>
          </cell>
          <cell r="J160">
            <v>892.51380952380941</v>
          </cell>
          <cell r="K160">
            <v>892.51380952380941</v>
          </cell>
          <cell r="L160">
            <v>892.51380952380941</v>
          </cell>
          <cell r="M160">
            <v>892.51380952380941</v>
          </cell>
          <cell r="N160">
            <v>892.51380952380941</v>
          </cell>
          <cell r="O160">
            <v>892.51380952380941</v>
          </cell>
          <cell r="P160">
            <v>892.51380952380941</v>
          </cell>
          <cell r="Q160">
            <v>892.51380952380941</v>
          </cell>
          <cell r="R160">
            <v>892.51380952380941</v>
          </cell>
          <cell r="S160">
            <v>892.51380952380941</v>
          </cell>
          <cell r="T160">
            <v>892.51380952380941</v>
          </cell>
          <cell r="X160">
            <v>8925</v>
          </cell>
        </row>
        <row r="161">
          <cell r="I161">
            <v>29.616538461538461</v>
          </cell>
          <cell r="J161">
            <v>29.616538461538461</v>
          </cell>
          <cell r="K161">
            <v>29.616538461538461</v>
          </cell>
          <cell r="L161">
            <v>29.616538461538461</v>
          </cell>
          <cell r="M161">
            <v>29.616538461538461</v>
          </cell>
          <cell r="N161">
            <v>29.616538461538461</v>
          </cell>
          <cell r="O161">
            <v>29.616538461538461</v>
          </cell>
          <cell r="P161">
            <v>29.616538461538461</v>
          </cell>
          <cell r="Q161">
            <v>29.616538461538461</v>
          </cell>
          <cell r="R161">
            <v>29.616538461538461</v>
          </cell>
          <cell r="S161">
            <v>29.616538461538461</v>
          </cell>
          <cell r="T161">
            <v>29.616538461538461</v>
          </cell>
          <cell r="X161">
            <v>296.2</v>
          </cell>
        </row>
        <row r="162">
          <cell r="I162">
            <v>699.9666666666667</v>
          </cell>
          <cell r="J162">
            <v>699.9666666666667</v>
          </cell>
          <cell r="K162">
            <v>699.9666666666667</v>
          </cell>
          <cell r="L162">
            <v>699.9666666666667</v>
          </cell>
          <cell r="M162">
            <v>699.9666666666667</v>
          </cell>
          <cell r="N162">
            <v>699.9666666666667</v>
          </cell>
          <cell r="O162">
            <v>699.9666666666667</v>
          </cell>
          <cell r="P162">
            <v>699.9666666666667</v>
          </cell>
          <cell r="Q162">
            <v>699.9666666666667</v>
          </cell>
          <cell r="R162">
            <v>699.9666666666667</v>
          </cell>
          <cell r="S162">
            <v>699.9666666666667</v>
          </cell>
          <cell r="T162">
            <v>699.9666666666667</v>
          </cell>
          <cell r="X162">
            <v>6999.7</v>
          </cell>
        </row>
        <row r="163">
          <cell r="I163">
            <v>4327.1653504273499</v>
          </cell>
          <cell r="J163">
            <v>4327.1653504273499</v>
          </cell>
          <cell r="K163">
            <v>4327.1653504273499</v>
          </cell>
          <cell r="L163">
            <v>4327.1653504273499</v>
          </cell>
          <cell r="M163">
            <v>4327.1653504273499</v>
          </cell>
          <cell r="N163">
            <v>4327.1653504273499</v>
          </cell>
          <cell r="O163">
            <v>4327.1653504273499</v>
          </cell>
          <cell r="P163">
            <v>4327.1653504273499</v>
          </cell>
          <cell r="Q163">
            <v>4327.1653504273499</v>
          </cell>
          <cell r="R163">
            <v>10577.165350427349</v>
          </cell>
          <cell r="S163">
            <v>10577.165350427349</v>
          </cell>
          <cell r="T163">
            <v>10577.165350427349</v>
          </cell>
          <cell r="X163">
            <v>43271.7</v>
          </cell>
        </row>
        <row r="164">
          <cell r="I164">
            <v>0</v>
          </cell>
          <cell r="J164">
            <v>0</v>
          </cell>
          <cell r="K164">
            <v>0</v>
          </cell>
          <cell r="L164">
            <v>0</v>
          </cell>
          <cell r="M164">
            <v>0</v>
          </cell>
          <cell r="N164">
            <v>0</v>
          </cell>
          <cell r="O164">
            <v>0</v>
          </cell>
          <cell r="P164">
            <v>0</v>
          </cell>
          <cell r="Q164">
            <v>0</v>
          </cell>
          <cell r="R164">
            <v>0</v>
          </cell>
          <cell r="S164">
            <v>0</v>
          </cell>
          <cell r="T164">
            <v>0</v>
          </cell>
          <cell r="X164">
            <v>0</v>
          </cell>
        </row>
        <row r="165">
          <cell r="I165">
            <v>50</v>
          </cell>
          <cell r="J165">
            <v>50</v>
          </cell>
          <cell r="K165">
            <v>50</v>
          </cell>
          <cell r="L165">
            <v>50</v>
          </cell>
          <cell r="M165">
            <v>50</v>
          </cell>
          <cell r="N165">
            <v>50</v>
          </cell>
          <cell r="O165">
            <v>50</v>
          </cell>
          <cell r="P165">
            <v>50</v>
          </cell>
          <cell r="Q165">
            <v>50</v>
          </cell>
          <cell r="R165">
            <v>50</v>
          </cell>
          <cell r="S165">
            <v>50</v>
          </cell>
          <cell r="T165">
            <v>50</v>
          </cell>
          <cell r="X165">
            <v>0</v>
          </cell>
        </row>
        <row r="168">
          <cell r="I168">
            <v>688.3366666666667</v>
          </cell>
          <cell r="J168">
            <v>688.3366666666667</v>
          </cell>
          <cell r="K168">
            <v>688.3366666666667</v>
          </cell>
          <cell r="L168">
            <v>688.3366666666667</v>
          </cell>
          <cell r="M168">
            <v>688.3366666666667</v>
          </cell>
          <cell r="N168">
            <v>688.3366666666667</v>
          </cell>
          <cell r="O168">
            <v>688.3366666666667</v>
          </cell>
          <cell r="P168">
            <v>788.3366666666667</v>
          </cell>
          <cell r="Q168">
            <v>638.3366666666667</v>
          </cell>
          <cell r="R168">
            <v>688.3366666666667</v>
          </cell>
          <cell r="S168">
            <v>638.3366666666667</v>
          </cell>
          <cell r="T168">
            <v>688.3366666666667</v>
          </cell>
          <cell r="X168">
            <v>4861.84</v>
          </cell>
        </row>
        <row r="171">
          <cell r="I171">
            <v>6500</v>
          </cell>
          <cell r="J171">
            <v>6500</v>
          </cell>
          <cell r="K171">
            <v>6500</v>
          </cell>
          <cell r="L171">
            <v>6500</v>
          </cell>
          <cell r="M171">
            <v>6500</v>
          </cell>
          <cell r="N171">
            <v>6500</v>
          </cell>
          <cell r="O171">
            <v>6500</v>
          </cell>
          <cell r="P171">
            <v>6500</v>
          </cell>
          <cell r="Q171">
            <v>6500</v>
          </cell>
          <cell r="R171">
            <v>8500</v>
          </cell>
          <cell r="S171">
            <v>8500</v>
          </cell>
          <cell r="T171">
            <v>8500</v>
          </cell>
          <cell r="X171">
            <v>57603.96</v>
          </cell>
        </row>
        <row r="172">
          <cell r="I172">
            <v>2500</v>
          </cell>
          <cell r="J172">
            <v>2500</v>
          </cell>
          <cell r="K172">
            <v>2500</v>
          </cell>
          <cell r="L172">
            <v>2500</v>
          </cell>
          <cell r="M172">
            <v>2500</v>
          </cell>
          <cell r="N172">
            <v>2500</v>
          </cell>
          <cell r="O172">
            <v>2500</v>
          </cell>
          <cell r="P172">
            <v>2500</v>
          </cell>
          <cell r="Q172">
            <v>2500</v>
          </cell>
          <cell r="R172">
            <v>2500</v>
          </cell>
          <cell r="S172">
            <v>2500</v>
          </cell>
          <cell r="T172">
            <v>2500</v>
          </cell>
          <cell r="X172">
            <v>19768.8</v>
          </cell>
        </row>
        <row r="173">
          <cell r="I173">
            <v>0</v>
          </cell>
          <cell r="J173">
            <v>0</v>
          </cell>
          <cell r="K173">
            <v>0</v>
          </cell>
          <cell r="L173">
            <v>0</v>
          </cell>
          <cell r="M173">
            <v>0</v>
          </cell>
          <cell r="N173">
            <v>0</v>
          </cell>
          <cell r="O173">
            <v>0</v>
          </cell>
          <cell r="P173">
            <v>0</v>
          </cell>
          <cell r="Q173">
            <v>0</v>
          </cell>
          <cell r="R173">
            <v>0</v>
          </cell>
          <cell r="S173">
            <v>0</v>
          </cell>
          <cell r="T173">
            <v>0</v>
          </cell>
          <cell r="X173">
            <v>-34.869999999999997</v>
          </cell>
        </row>
        <row r="177">
          <cell r="I177">
            <v>307.42156862745099</v>
          </cell>
          <cell r="J177">
            <v>307.42156862745099</v>
          </cell>
          <cell r="K177">
            <v>307.42156862745099</v>
          </cell>
          <cell r="L177">
            <v>307.42156862745099</v>
          </cell>
          <cell r="M177">
            <v>307.42156862745099</v>
          </cell>
          <cell r="N177">
            <v>307.42156862745099</v>
          </cell>
          <cell r="O177">
            <v>307.42156862745099</v>
          </cell>
          <cell r="P177">
            <v>307.42156862745099</v>
          </cell>
          <cell r="Q177">
            <v>307.42156862745099</v>
          </cell>
          <cell r="R177">
            <v>307.42156862745099</v>
          </cell>
          <cell r="S177">
            <v>307.42156862745099</v>
          </cell>
          <cell r="T177">
            <v>307.42156862745099</v>
          </cell>
          <cell r="X177">
            <v>3086.3</v>
          </cell>
        </row>
        <row r="179">
          <cell r="I179">
            <v>8926.4153819999992</v>
          </cell>
          <cell r="J179">
            <v>8926.4153819999992</v>
          </cell>
          <cell r="K179">
            <v>8926.4153819999992</v>
          </cell>
          <cell r="L179">
            <v>8926.4153819999992</v>
          </cell>
          <cell r="M179">
            <v>8926.4153819999992</v>
          </cell>
          <cell r="N179">
            <v>8926.4153819999992</v>
          </cell>
          <cell r="O179">
            <v>8926.4153819999992</v>
          </cell>
          <cell r="P179">
            <v>8926.4153819999992</v>
          </cell>
          <cell r="Q179">
            <v>8926.4153819999992</v>
          </cell>
          <cell r="R179">
            <v>8926.4153819999992</v>
          </cell>
          <cell r="S179">
            <v>8926.4153819999992</v>
          </cell>
          <cell r="T179">
            <v>8926.4153819999992</v>
          </cell>
          <cell r="X179">
            <v>78935.73</v>
          </cell>
        </row>
        <row r="180">
          <cell r="I180">
            <v>488.25701747450984</v>
          </cell>
          <cell r="J180">
            <v>1488.2570174745099</v>
          </cell>
          <cell r="K180">
            <v>488.25701747450984</v>
          </cell>
          <cell r="L180">
            <v>488.25701747450984</v>
          </cell>
          <cell r="M180">
            <v>488.25701747450984</v>
          </cell>
          <cell r="N180">
            <v>488.25701747450984</v>
          </cell>
          <cell r="O180">
            <v>488.25701747450984</v>
          </cell>
          <cell r="P180">
            <v>488.25701747450984</v>
          </cell>
          <cell r="Q180">
            <v>488.25701747450984</v>
          </cell>
          <cell r="R180">
            <v>488.25701747450984</v>
          </cell>
          <cell r="S180">
            <v>488.25701747450984</v>
          </cell>
          <cell r="T180">
            <v>488.25701747450984</v>
          </cell>
          <cell r="X180">
            <v>2971.02</v>
          </cell>
        </row>
        <row r="181">
          <cell r="I181">
            <v>1386.5097999999998</v>
          </cell>
          <cell r="J181">
            <v>1386.5097999999998</v>
          </cell>
          <cell r="K181">
            <v>1386.5097999999998</v>
          </cell>
          <cell r="L181">
            <v>1386.5097999999998</v>
          </cell>
          <cell r="M181">
            <v>1386.5097999999998</v>
          </cell>
          <cell r="N181">
            <v>1386.5097999999998</v>
          </cell>
          <cell r="O181">
            <v>1386.5097999999998</v>
          </cell>
          <cell r="P181">
            <v>1386.5097999999998</v>
          </cell>
          <cell r="Q181">
            <v>1386.5097999999998</v>
          </cell>
          <cell r="R181">
            <v>1386.5097999999998</v>
          </cell>
          <cell r="S181">
            <v>1386.5097999999998</v>
          </cell>
          <cell r="T181">
            <v>1386.5097999999998</v>
          </cell>
          <cell r="X181">
            <v>12321.86</v>
          </cell>
        </row>
        <row r="182">
          <cell r="I182">
            <v>1743.547474747475</v>
          </cell>
          <cell r="J182">
            <v>1743.547474747475</v>
          </cell>
          <cell r="K182">
            <v>1743.547474747475</v>
          </cell>
          <cell r="L182">
            <v>1743.547474747475</v>
          </cell>
          <cell r="M182">
            <v>1743.547474747475</v>
          </cell>
          <cell r="N182">
            <v>1743.547474747475</v>
          </cell>
          <cell r="O182">
            <v>0</v>
          </cell>
          <cell r="P182">
            <v>0</v>
          </cell>
          <cell r="Q182">
            <v>0</v>
          </cell>
          <cell r="R182">
            <v>1917.9022222222227</v>
          </cell>
          <cell r="S182">
            <v>1917.9022222222227</v>
          </cell>
          <cell r="T182">
            <v>1917.9022222222227</v>
          </cell>
          <cell r="X182">
            <v>4918.83</v>
          </cell>
        </row>
        <row r="184">
          <cell r="I184">
            <v>0</v>
          </cell>
          <cell r="J184">
            <v>0</v>
          </cell>
          <cell r="K184">
            <v>0</v>
          </cell>
          <cell r="L184">
            <v>16170.000000000002</v>
          </cell>
          <cell r="M184">
            <v>0</v>
          </cell>
          <cell r="N184">
            <v>0</v>
          </cell>
          <cell r="O184">
            <v>0</v>
          </cell>
          <cell r="P184">
            <v>0</v>
          </cell>
          <cell r="Q184">
            <v>0</v>
          </cell>
          <cell r="R184">
            <v>0</v>
          </cell>
          <cell r="S184">
            <v>0</v>
          </cell>
          <cell r="T184">
            <v>0</v>
          </cell>
          <cell r="X184">
            <v>14950</v>
          </cell>
        </row>
        <row r="185">
          <cell r="I185">
            <v>340.15819964349373</v>
          </cell>
          <cell r="J185">
            <v>340.15819964349373</v>
          </cell>
          <cell r="K185">
            <v>340.15819964349373</v>
          </cell>
          <cell r="L185">
            <v>340.15819964349373</v>
          </cell>
          <cell r="M185">
            <v>340.15819964349373</v>
          </cell>
          <cell r="N185">
            <v>340.15819964349373</v>
          </cell>
          <cell r="O185">
            <v>340.15819964349373</v>
          </cell>
          <cell r="P185">
            <v>340.15819964349373</v>
          </cell>
          <cell r="Q185">
            <v>340.15819964349373</v>
          </cell>
          <cell r="R185">
            <v>340.15819964349373</v>
          </cell>
          <cell r="S185">
            <v>340.15819964349373</v>
          </cell>
          <cell r="T185">
            <v>340.15819964349373</v>
          </cell>
          <cell r="X185">
            <v>3553.67</v>
          </cell>
        </row>
        <row r="186">
          <cell r="I186">
            <v>0</v>
          </cell>
          <cell r="J186">
            <v>0</v>
          </cell>
          <cell r="K186">
            <v>0</v>
          </cell>
          <cell r="L186">
            <v>0</v>
          </cell>
          <cell r="M186">
            <v>0</v>
          </cell>
          <cell r="N186">
            <v>0</v>
          </cell>
          <cell r="O186">
            <v>0</v>
          </cell>
          <cell r="P186">
            <v>0</v>
          </cell>
          <cell r="Q186">
            <v>0</v>
          </cell>
          <cell r="R186">
            <v>0</v>
          </cell>
          <cell r="S186">
            <v>3000</v>
          </cell>
          <cell r="T186">
            <v>1000</v>
          </cell>
          <cell r="X186">
            <v>6540.77</v>
          </cell>
        </row>
        <row r="187">
          <cell r="I187">
            <v>50</v>
          </cell>
          <cell r="J187">
            <v>300</v>
          </cell>
          <cell r="K187">
            <v>50</v>
          </cell>
          <cell r="L187">
            <v>50</v>
          </cell>
          <cell r="M187">
            <v>50</v>
          </cell>
          <cell r="N187">
            <v>85</v>
          </cell>
          <cell r="O187">
            <v>50</v>
          </cell>
          <cell r="P187">
            <v>50</v>
          </cell>
          <cell r="Q187">
            <v>50</v>
          </cell>
          <cell r="R187">
            <v>50</v>
          </cell>
          <cell r="S187">
            <v>50</v>
          </cell>
          <cell r="T187">
            <v>85</v>
          </cell>
          <cell r="X187">
            <v>513.62</v>
          </cell>
        </row>
        <row r="188">
          <cell r="I188">
            <v>52.777777777777771</v>
          </cell>
          <cell r="J188">
            <v>52.777777777777771</v>
          </cell>
          <cell r="K188">
            <v>127.77777777777777</v>
          </cell>
          <cell r="L188">
            <v>52.777777777777771</v>
          </cell>
          <cell r="M188">
            <v>52.777777777777771</v>
          </cell>
          <cell r="N188">
            <v>127.77777777777777</v>
          </cell>
          <cell r="O188">
            <v>52.777777777777771</v>
          </cell>
          <cell r="P188">
            <v>52.777777777777771</v>
          </cell>
          <cell r="Q188">
            <v>127.77777777777777</v>
          </cell>
          <cell r="R188">
            <v>52.777777777777771</v>
          </cell>
          <cell r="S188">
            <v>52.777777777777771</v>
          </cell>
          <cell r="T188">
            <v>127.77777777777777</v>
          </cell>
          <cell r="X188">
            <v>1741.7</v>
          </cell>
        </row>
        <row r="189">
          <cell r="I189">
            <v>61.764705882352935</v>
          </cell>
          <cell r="J189">
            <v>61.764705882352935</v>
          </cell>
          <cell r="K189">
            <v>61.764705882352935</v>
          </cell>
          <cell r="L189">
            <v>61.764705882352935</v>
          </cell>
          <cell r="M189">
            <v>61.764705882352935</v>
          </cell>
          <cell r="N189">
            <v>61.764705882352935</v>
          </cell>
          <cell r="O189">
            <v>61.764705882352935</v>
          </cell>
          <cell r="P189">
            <v>61.764705882352935</v>
          </cell>
          <cell r="Q189">
            <v>61.764705882352935</v>
          </cell>
          <cell r="R189">
            <v>61.764705882352935</v>
          </cell>
          <cell r="S189">
            <v>61.764705882352935</v>
          </cell>
          <cell r="T189">
            <v>61.764705882352935</v>
          </cell>
          <cell r="X189">
            <v>665.83</v>
          </cell>
        </row>
        <row r="190">
          <cell r="I190">
            <v>127.22222222222221</v>
          </cell>
          <cell r="J190">
            <v>127.22222222222221</v>
          </cell>
          <cell r="K190">
            <v>127.22222222222221</v>
          </cell>
          <cell r="L190">
            <v>127.22222222222221</v>
          </cell>
          <cell r="M190">
            <v>127.22222222222221</v>
          </cell>
          <cell r="N190">
            <v>127.22222222222221</v>
          </cell>
          <cell r="O190">
            <v>127.22222222222221</v>
          </cell>
          <cell r="P190">
            <v>127.22222222222221</v>
          </cell>
          <cell r="Q190">
            <v>127.22222222222221</v>
          </cell>
          <cell r="R190">
            <v>127.22222222222221</v>
          </cell>
          <cell r="S190">
            <v>127.22222222222221</v>
          </cell>
          <cell r="T190">
            <v>127.22222222222221</v>
          </cell>
          <cell r="X190">
            <v>2306.77</v>
          </cell>
        </row>
        <row r="191">
          <cell r="I191">
            <v>84.090909090909093</v>
          </cell>
          <cell r="J191">
            <v>84.090909090909093</v>
          </cell>
          <cell r="K191">
            <v>84.090909090909093</v>
          </cell>
          <cell r="L191">
            <v>84.090909090909093</v>
          </cell>
          <cell r="M191">
            <v>84.090909090909093</v>
          </cell>
          <cell r="N191">
            <v>84.090909090909093</v>
          </cell>
          <cell r="O191">
            <v>84.090909090909093</v>
          </cell>
          <cell r="P191">
            <v>84.090909090909093</v>
          </cell>
          <cell r="Q191">
            <v>84.090909090909093</v>
          </cell>
          <cell r="R191">
            <v>84.090909090909093</v>
          </cell>
          <cell r="S191">
            <v>84.090909090909093</v>
          </cell>
          <cell r="T191">
            <v>84.090909090909093</v>
          </cell>
          <cell r="X191">
            <v>688.64</v>
          </cell>
        </row>
        <row r="192">
          <cell r="I192">
            <v>49.313725490196077</v>
          </cell>
          <cell r="J192">
            <v>49.313725490196077</v>
          </cell>
          <cell r="K192">
            <v>49.313725490196077</v>
          </cell>
          <cell r="L192">
            <v>49.313725490196077</v>
          </cell>
          <cell r="M192">
            <v>49.313725490196077</v>
          </cell>
          <cell r="N192">
            <v>49.313725490196077</v>
          </cell>
          <cell r="O192">
            <v>49.313725490196077</v>
          </cell>
          <cell r="P192">
            <v>49.313725490196077</v>
          </cell>
          <cell r="Q192">
            <v>49.313725490196077</v>
          </cell>
          <cell r="R192">
            <v>49.313725490196077</v>
          </cell>
          <cell r="S192">
            <v>49.313725490196077</v>
          </cell>
          <cell r="T192">
            <v>49.313725490196077</v>
          </cell>
          <cell r="X192">
            <v>512.72</v>
          </cell>
        </row>
        <row r="193">
          <cell r="I193">
            <v>-515</v>
          </cell>
          <cell r="J193">
            <v>25</v>
          </cell>
          <cell r="K193">
            <v>0</v>
          </cell>
          <cell r="L193">
            <v>500</v>
          </cell>
          <cell r="M193">
            <v>25</v>
          </cell>
          <cell r="N193">
            <v>25</v>
          </cell>
          <cell r="O193">
            <v>0</v>
          </cell>
          <cell r="P193">
            <v>25</v>
          </cell>
          <cell r="Q193">
            <v>1800</v>
          </cell>
          <cell r="R193">
            <v>25</v>
          </cell>
          <cell r="S193">
            <v>25</v>
          </cell>
          <cell r="T193">
            <v>65</v>
          </cell>
          <cell r="X193">
            <v>3729.19</v>
          </cell>
        </row>
        <row r="195">
          <cell r="I195">
            <v>733.33333333333337</v>
          </cell>
          <cell r="J195">
            <v>733.33333333333337</v>
          </cell>
          <cell r="K195">
            <v>733.33333333333337</v>
          </cell>
          <cell r="L195">
            <v>733.33333333333337</v>
          </cell>
          <cell r="M195">
            <v>733.33333333333337</v>
          </cell>
          <cell r="N195">
            <v>733.33333333333337</v>
          </cell>
          <cell r="O195">
            <v>733.33333333333337</v>
          </cell>
          <cell r="P195">
            <v>733.33333333333337</v>
          </cell>
          <cell r="Q195">
            <v>733.33333333333337</v>
          </cell>
          <cell r="R195">
            <v>733.33333333333337</v>
          </cell>
          <cell r="S195">
            <v>733.33333333333337</v>
          </cell>
          <cell r="T195">
            <v>733.33333333333337</v>
          </cell>
          <cell r="X195">
            <v>7308.43</v>
          </cell>
        </row>
        <row r="196">
          <cell r="I196">
            <v>183.33333333333334</v>
          </cell>
          <cell r="J196">
            <v>183.33333333333334</v>
          </cell>
          <cell r="K196">
            <v>183.33333333333334</v>
          </cell>
          <cell r="L196">
            <v>183.33333333333334</v>
          </cell>
          <cell r="M196">
            <v>183.33333333333334</v>
          </cell>
          <cell r="N196">
            <v>183.33333333333334</v>
          </cell>
          <cell r="O196">
            <v>183.33333333333334</v>
          </cell>
          <cell r="P196">
            <v>183.33333333333334</v>
          </cell>
          <cell r="Q196">
            <v>183.33333333333334</v>
          </cell>
          <cell r="R196">
            <v>183.33333333333334</v>
          </cell>
          <cell r="S196">
            <v>183.33333333333334</v>
          </cell>
          <cell r="T196">
            <v>183.33333333333334</v>
          </cell>
          <cell r="X196">
            <v>1579.49</v>
          </cell>
        </row>
        <row r="197">
          <cell r="I197">
            <v>117.58333333333333</v>
          </cell>
          <cell r="J197">
            <v>117.58333333333333</v>
          </cell>
          <cell r="K197">
            <v>117.58333333333333</v>
          </cell>
          <cell r="L197">
            <v>117.58333333333333</v>
          </cell>
          <cell r="M197">
            <v>117.58333333333333</v>
          </cell>
          <cell r="N197">
            <v>117.58333333333333</v>
          </cell>
          <cell r="O197">
            <v>117.58333333333333</v>
          </cell>
          <cell r="P197">
            <v>117.58333333333333</v>
          </cell>
          <cell r="Q197">
            <v>117.58333333333333</v>
          </cell>
          <cell r="R197">
            <v>117.58333333333333</v>
          </cell>
          <cell r="S197">
            <v>117.58333333333333</v>
          </cell>
          <cell r="T197">
            <v>117.58333333333333</v>
          </cell>
          <cell r="X197">
            <v>1206.18</v>
          </cell>
        </row>
        <row r="200">
          <cell r="I200">
            <v>62.333333333333336</v>
          </cell>
          <cell r="J200">
            <v>62.333333333333336</v>
          </cell>
          <cell r="K200">
            <v>62.333333333333336</v>
          </cell>
          <cell r="L200">
            <v>62.333333333333336</v>
          </cell>
          <cell r="M200">
            <v>62.333333333333336</v>
          </cell>
          <cell r="N200">
            <v>62.333333333333336</v>
          </cell>
          <cell r="O200">
            <v>62.333333333333336</v>
          </cell>
          <cell r="P200">
            <v>62.333333333333336</v>
          </cell>
          <cell r="Q200">
            <v>62.333333333333336</v>
          </cell>
          <cell r="R200">
            <v>62.333333333333336</v>
          </cell>
          <cell r="S200">
            <v>62.333333333333336</v>
          </cell>
          <cell r="T200">
            <v>62.333333333333336</v>
          </cell>
          <cell r="X200">
            <v>521.29</v>
          </cell>
        </row>
        <row r="202">
          <cell r="I202">
            <v>100</v>
          </cell>
          <cell r="J202">
            <v>0</v>
          </cell>
          <cell r="K202">
            <v>0</v>
          </cell>
          <cell r="L202">
            <v>0</v>
          </cell>
          <cell r="M202">
            <v>0</v>
          </cell>
          <cell r="N202">
            <v>100</v>
          </cell>
          <cell r="O202">
            <v>0</v>
          </cell>
          <cell r="P202">
            <v>0</v>
          </cell>
          <cell r="Q202">
            <v>0</v>
          </cell>
          <cell r="R202">
            <v>0</v>
          </cell>
          <cell r="S202">
            <v>0</v>
          </cell>
          <cell r="T202">
            <v>100</v>
          </cell>
          <cell r="X202">
            <v>141.41</v>
          </cell>
        </row>
        <row r="203">
          <cell r="I203">
            <v>682.47619047619048</v>
          </cell>
          <cell r="J203">
            <v>682.47619047619048</v>
          </cell>
          <cell r="K203">
            <v>682.47619047619048</v>
          </cell>
          <cell r="L203">
            <v>682.47619047619048</v>
          </cell>
          <cell r="M203">
            <v>682.47619047619048</v>
          </cell>
          <cell r="N203">
            <v>682.47619047619048</v>
          </cell>
          <cell r="O203">
            <v>682.47619047619048</v>
          </cell>
          <cell r="P203">
            <v>682.47619047619048</v>
          </cell>
          <cell r="Q203">
            <v>682.47619047619048</v>
          </cell>
          <cell r="R203">
            <v>682.47619047619048</v>
          </cell>
          <cell r="S203">
            <v>682.47619047619048</v>
          </cell>
          <cell r="T203">
            <v>682.47619047619048</v>
          </cell>
          <cell r="X203">
            <v>5847.85</v>
          </cell>
        </row>
        <row r="206">
          <cell r="I206">
            <v>43.756862745098033</v>
          </cell>
          <cell r="J206">
            <v>43.756862745098033</v>
          </cell>
          <cell r="K206">
            <v>343.75686274509803</v>
          </cell>
          <cell r="L206">
            <v>43.756862745098033</v>
          </cell>
          <cell r="M206">
            <v>43.756862745098033</v>
          </cell>
          <cell r="N206">
            <v>343.75686274509803</v>
          </cell>
          <cell r="O206">
            <v>43.756862745098033</v>
          </cell>
          <cell r="P206">
            <v>443.75686274509803</v>
          </cell>
          <cell r="Q206">
            <v>1643.756862745098</v>
          </cell>
          <cell r="R206">
            <v>43.756862745098033</v>
          </cell>
          <cell r="S206">
            <v>-1856.243137254902</v>
          </cell>
          <cell r="T206">
            <v>343.75686274509803</v>
          </cell>
          <cell r="X206">
            <v>1680</v>
          </cell>
        </row>
        <row r="209">
          <cell r="I209">
            <v>75</v>
          </cell>
          <cell r="J209">
            <v>75</v>
          </cell>
          <cell r="K209">
            <v>75</v>
          </cell>
          <cell r="L209">
            <v>75</v>
          </cell>
          <cell r="M209">
            <v>75</v>
          </cell>
          <cell r="N209">
            <v>75</v>
          </cell>
          <cell r="O209">
            <v>75</v>
          </cell>
          <cell r="P209">
            <v>75</v>
          </cell>
          <cell r="Q209">
            <v>75</v>
          </cell>
          <cell r="R209">
            <v>75</v>
          </cell>
          <cell r="S209">
            <v>75</v>
          </cell>
          <cell r="T209">
            <v>-225</v>
          </cell>
          <cell r="X209">
            <v>582.41</v>
          </cell>
        </row>
        <row r="213">
          <cell r="I213">
            <v>384.27696078431376</v>
          </cell>
          <cell r="J213">
            <v>384.27696078431376</v>
          </cell>
          <cell r="K213">
            <v>384.27696078431376</v>
          </cell>
          <cell r="L213">
            <v>384.27696078431376</v>
          </cell>
          <cell r="M213">
            <v>384.27696078431376</v>
          </cell>
          <cell r="N213">
            <v>384.27696078431376</v>
          </cell>
          <cell r="O213">
            <v>384.27696078431376</v>
          </cell>
          <cell r="P213">
            <v>384.27696078431376</v>
          </cell>
          <cell r="Q213">
            <v>384.27696078431376</v>
          </cell>
          <cell r="R213">
            <v>384.27696078431376</v>
          </cell>
          <cell r="S213">
            <v>384.27696078431376</v>
          </cell>
          <cell r="T213">
            <v>384.27696078431376</v>
          </cell>
          <cell r="X213">
            <v>3086.3</v>
          </cell>
        </row>
        <row r="215">
          <cell r="I215">
            <v>23767.622589999999</v>
          </cell>
          <cell r="J215">
            <v>23767.622589999999</v>
          </cell>
          <cell r="K215">
            <v>23767.622589999999</v>
          </cell>
          <cell r="L215">
            <v>23767.622589999999</v>
          </cell>
          <cell r="M215">
            <v>23767.622589999999</v>
          </cell>
          <cell r="N215">
            <v>23767.622589999999</v>
          </cell>
          <cell r="O215">
            <v>23767.622589999999</v>
          </cell>
          <cell r="P215">
            <v>23767.622589999999</v>
          </cell>
          <cell r="Q215">
            <v>23767.622589999999</v>
          </cell>
          <cell r="R215">
            <v>23767.622589999999</v>
          </cell>
          <cell r="S215">
            <v>23767.622589999999</v>
          </cell>
          <cell r="T215">
            <v>23767.622589999999</v>
          </cell>
          <cell r="X215">
            <v>213213.78</v>
          </cell>
        </row>
        <row r="216">
          <cell r="I216">
            <v>692.56194757647052</v>
          </cell>
          <cell r="J216">
            <v>692.56194757647052</v>
          </cell>
          <cell r="K216">
            <v>692.56194757647052</v>
          </cell>
          <cell r="L216">
            <v>692.56194757647052</v>
          </cell>
          <cell r="M216">
            <v>692.56194757647052</v>
          </cell>
          <cell r="N216">
            <v>692.56194757647052</v>
          </cell>
          <cell r="O216">
            <v>692.56194757647052</v>
          </cell>
          <cell r="P216">
            <v>692.56194757647052</v>
          </cell>
          <cell r="Q216">
            <v>692.56194757647052</v>
          </cell>
          <cell r="R216">
            <v>692.56194757647052</v>
          </cell>
          <cell r="S216">
            <v>692.56194757647052</v>
          </cell>
          <cell r="T216">
            <v>692.56194757647052</v>
          </cell>
          <cell r="X216">
            <v>3619.09</v>
          </cell>
        </row>
        <row r="217">
          <cell r="I217">
            <v>2363.8659999999995</v>
          </cell>
          <cell r="J217">
            <v>2363.8659999999995</v>
          </cell>
          <cell r="K217">
            <v>2363.8659999999995</v>
          </cell>
          <cell r="L217">
            <v>2363.8659999999995</v>
          </cell>
          <cell r="M217">
            <v>2363.8659999999995</v>
          </cell>
          <cell r="N217">
            <v>2363.8659999999995</v>
          </cell>
          <cell r="O217">
            <v>2363.8659999999995</v>
          </cell>
          <cell r="P217">
            <v>2363.8659999999995</v>
          </cell>
          <cell r="Q217">
            <v>2363.8659999999995</v>
          </cell>
          <cell r="R217">
            <v>2363.8659999999995</v>
          </cell>
          <cell r="S217">
            <v>2363.8659999999995</v>
          </cell>
          <cell r="T217">
            <v>2363.8659999999995</v>
          </cell>
          <cell r="X217">
            <v>19341.91</v>
          </cell>
        </row>
        <row r="218">
          <cell r="I218">
            <v>912</v>
          </cell>
          <cell r="J218">
            <v>912</v>
          </cell>
          <cell r="K218">
            <v>912</v>
          </cell>
          <cell r="L218">
            <v>912</v>
          </cell>
          <cell r="M218">
            <v>912</v>
          </cell>
          <cell r="N218">
            <v>912</v>
          </cell>
          <cell r="O218">
            <v>912</v>
          </cell>
          <cell r="P218">
            <v>912</v>
          </cell>
          <cell r="Q218">
            <v>912</v>
          </cell>
          <cell r="R218">
            <v>912</v>
          </cell>
          <cell r="S218">
            <v>912</v>
          </cell>
          <cell r="T218">
            <v>-488</v>
          </cell>
          <cell r="X218">
            <v>5598</v>
          </cell>
        </row>
        <row r="219">
          <cell r="I219">
            <v>2179.4343434343436</v>
          </cell>
          <cell r="J219">
            <v>2179.4343434343436</v>
          </cell>
          <cell r="K219">
            <v>2179.4343434343436</v>
          </cell>
          <cell r="L219">
            <v>2179.4343434343436</v>
          </cell>
          <cell r="M219">
            <v>2179.4343434343436</v>
          </cell>
          <cell r="N219">
            <v>2179.4343434343436</v>
          </cell>
          <cell r="O219">
            <v>0</v>
          </cell>
          <cell r="P219">
            <v>0</v>
          </cell>
          <cell r="Q219">
            <v>0</v>
          </cell>
          <cell r="R219">
            <v>2397.3777777777782</v>
          </cell>
          <cell r="S219">
            <v>2397.3777777777782</v>
          </cell>
          <cell r="T219">
            <v>2397.3777777777782</v>
          </cell>
          <cell r="X219">
            <v>4918.83</v>
          </cell>
        </row>
        <row r="220">
          <cell r="X220">
            <v>103</v>
          </cell>
        </row>
        <row r="221">
          <cell r="I221">
            <v>0</v>
          </cell>
          <cell r="J221">
            <v>0</v>
          </cell>
          <cell r="K221">
            <v>0</v>
          </cell>
          <cell r="L221">
            <v>0</v>
          </cell>
          <cell r="M221">
            <v>0</v>
          </cell>
          <cell r="N221">
            <v>0</v>
          </cell>
          <cell r="O221">
            <v>0</v>
          </cell>
          <cell r="P221">
            <v>0</v>
          </cell>
          <cell r="Q221">
            <v>0</v>
          </cell>
          <cell r="R221">
            <v>0</v>
          </cell>
          <cell r="S221">
            <v>0</v>
          </cell>
          <cell r="T221">
            <v>0</v>
          </cell>
          <cell r="X221">
            <v>0</v>
          </cell>
        </row>
        <row r="223">
          <cell r="I223">
            <v>2799</v>
          </cell>
          <cell r="J223">
            <v>1250</v>
          </cell>
          <cell r="K223">
            <v>1250</v>
          </cell>
          <cell r="L223">
            <v>2250</v>
          </cell>
          <cell r="M223">
            <v>2550</v>
          </cell>
          <cell r="N223">
            <v>1910</v>
          </cell>
          <cell r="O223">
            <v>1650</v>
          </cell>
          <cell r="P223">
            <v>2250</v>
          </cell>
          <cell r="Q223">
            <v>1400</v>
          </cell>
          <cell r="R223">
            <v>2250</v>
          </cell>
          <cell r="S223">
            <v>1080</v>
          </cell>
          <cell r="T223">
            <v>2150</v>
          </cell>
          <cell r="X223">
            <v>5044.9799999999996</v>
          </cell>
        </row>
        <row r="224">
          <cell r="I224">
            <v>1071.7602495543672</v>
          </cell>
          <cell r="J224">
            <v>406.76024955436725</v>
          </cell>
          <cell r="K224">
            <v>426.76024955436725</v>
          </cell>
          <cell r="L224">
            <v>1526.7602495543672</v>
          </cell>
          <cell r="M224">
            <v>326.76024955436725</v>
          </cell>
          <cell r="N224">
            <v>326.76024955436725</v>
          </cell>
          <cell r="O224">
            <v>326.76024955436725</v>
          </cell>
          <cell r="P224">
            <v>426.76024955436725</v>
          </cell>
          <cell r="Q224">
            <v>391.76024955436725</v>
          </cell>
          <cell r="R224">
            <v>326.76024955436725</v>
          </cell>
          <cell r="S224">
            <v>326.76024955436725</v>
          </cell>
          <cell r="T224">
            <v>326.76024955436725</v>
          </cell>
          <cell r="X224">
            <v>4787.68</v>
          </cell>
        </row>
        <row r="225">
          <cell r="I225">
            <v>566.66666666666663</v>
          </cell>
          <cell r="J225">
            <v>566.66666666666663</v>
          </cell>
          <cell r="K225">
            <v>566.66666666666663</v>
          </cell>
          <cell r="L225">
            <v>566.66666666666663</v>
          </cell>
          <cell r="M225">
            <v>566.66666666666663</v>
          </cell>
          <cell r="N225">
            <v>566.66666666666663</v>
          </cell>
          <cell r="O225">
            <v>566.66666666666663</v>
          </cell>
          <cell r="P225">
            <v>566.66666666666663</v>
          </cell>
          <cell r="Q225">
            <v>566.66666666666663</v>
          </cell>
          <cell r="R225">
            <v>566.66666666666663</v>
          </cell>
          <cell r="S225">
            <v>566.66666666666663</v>
          </cell>
          <cell r="T225">
            <v>566.66666666666663</v>
          </cell>
          <cell r="X225">
            <v>4862.43</v>
          </cell>
        </row>
        <row r="226">
          <cell r="I226">
            <v>165.97222222222223</v>
          </cell>
          <cell r="J226">
            <v>65.972222222222229</v>
          </cell>
          <cell r="K226">
            <v>145.47222222222223</v>
          </cell>
          <cell r="L226">
            <v>65.972222222222229</v>
          </cell>
          <cell r="M226">
            <v>65.972222222222229</v>
          </cell>
          <cell r="N226">
            <v>65.972222222222229</v>
          </cell>
          <cell r="O226">
            <v>65.972222222222229</v>
          </cell>
          <cell r="P226">
            <v>145.47222222222223</v>
          </cell>
          <cell r="Q226">
            <v>65.972222222222229</v>
          </cell>
          <cell r="R226">
            <v>65.972222222222229</v>
          </cell>
          <cell r="S226">
            <v>65.972222222222229</v>
          </cell>
          <cell r="T226">
            <v>145.47222222222223</v>
          </cell>
          <cell r="X226">
            <v>2383.4499999999998</v>
          </cell>
        </row>
        <row r="227">
          <cell r="I227">
            <v>77.205882352941174</v>
          </cell>
          <cell r="J227">
            <v>77.205882352941174</v>
          </cell>
          <cell r="K227">
            <v>77.205882352941174</v>
          </cell>
          <cell r="L227">
            <v>77.205882352941174</v>
          </cell>
          <cell r="M227">
            <v>77.205882352941174</v>
          </cell>
          <cell r="N227">
            <v>77.205882352941174</v>
          </cell>
          <cell r="O227">
            <v>77.205882352941174</v>
          </cell>
          <cell r="P227">
            <v>77.205882352941174</v>
          </cell>
          <cell r="Q227">
            <v>77.205882352941174</v>
          </cell>
          <cell r="R227">
            <v>77.205882352941174</v>
          </cell>
          <cell r="S227">
            <v>77.205882352941174</v>
          </cell>
          <cell r="T227">
            <v>77.205882352941174</v>
          </cell>
          <cell r="X227">
            <v>615.23</v>
          </cell>
        </row>
        <row r="228">
          <cell r="I228">
            <v>251.52777777777777</v>
          </cell>
          <cell r="J228">
            <v>251.52777777777777</v>
          </cell>
          <cell r="K228">
            <v>251.52777777777777</v>
          </cell>
          <cell r="L228">
            <v>251.52777777777777</v>
          </cell>
          <cell r="M228">
            <v>251.52777777777777</v>
          </cell>
          <cell r="N228">
            <v>251.52777777777777</v>
          </cell>
          <cell r="O228">
            <v>251.52777777777777</v>
          </cell>
          <cell r="P228">
            <v>251.52777777777777</v>
          </cell>
          <cell r="Q228">
            <v>251.52777777777777</v>
          </cell>
          <cell r="R228">
            <v>251.52777777777777</v>
          </cell>
          <cell r="S228">
            <v>251.52777777777777</v>
          </cell>
          <cell r="T228">
            <v>251.52777777777777</v>
          </cell>
          <cell r="X228">
            <v>3570.3</v>
          </cell>
        </row>
        <row r="229">
          <cell r="I229">
            <v>231.36363636363637</v>
          </cell>
          <cell r="J229">
            <v>286.36363636363637</v>
          </cell>
          <cell r="K229">
            <v>211.36363636363637</v>
          </cell>
          <cell r="L229">
            <v>281.36363636363637</v>
          </cell>
          <cell r="M229">
            <v>286.36363636363637</v>
          </cell>
          <cell r="N229">
            <v>326.36363636363637</v>
          </cell>
          <cell r="O229">
            <v>231.36363636363637</v>
          </cell>
          <cell r="P229">
            <v>586.36363636363637</v>
          </cell>
          <cell r="Q229">
            <v>211.36363636363637</v>
          </cell>
          <cell r="R229">
            <v>211.36363636363637</v>
          </cell>
          <cell r="S229">
            <v>401.36363636363637</v>
          </cell>
          <cell r="T229">
            <v>296.36363636363637</v>
          </cell>
          <cell r="X229">
            <v>1295.8499999999999</v>
          </cell>
        </row>
        <row r="230">
          <cell r="I230">
            <v>57.892156862745104</v>
          </cell>
          <cell r="J230">
            <v>42.892156862745104</v>
          </cell>
          <cell r="K230">
            <v>42.892156862745104</v>
          </cell>
          <cell r="L230">
            <v>42.892156862745104</v>
          </cell>
          <cell r="M230">
            <v>57.892156862745104</v>
          </cell>
          <cell r="N230">
            <v>42.892156862745104</v>
          </cell>
          <cell r="O230">
            <v>42.892156862745104</v>
          </cell>
          <cell r="P230">
            <v>42.892156862745104</v>
          </cell>
          <cell r="Q230">
            <v>57.892156862745104</v>
          </cell>
          <cell r="R230">
            <v>42.892156862745104</v>
          </cell>
          <cell r="S230">
            <v>42.892156862745104</v>
          </cell>
          <cell r="T230">
            <v>57.892156862745104</v>
          </cell>
          <cell r="X230">
            <v>564.24</v>
          </cell>
        </row>
        <row r="232">
          <cell r="I232">
            <v>916.66666666666663</v>
          </cell>
          <cell r="J232">
            <v>916.66666666666663</v>
          </cell>
          <cell r="K232">
            <v>916.66666666666663</v>
          </cell>
          <cell r="L232">
            <v>916.66666666666663</v>
          </cell>
          <cell r="M232">
            <v>916.66666666666663</v>
          </cell>
          <cell r="N232">
            <v>916.66666666666663</v>
          </cell>
          <cell r="O232">
            <v>916.66666666666663</v>
          </cell>
          <cell r="P232">
            <v>916.66666666666663</v>
          </cell>
          <cell r="Q232">
            <v>916.66666666666663</v>
          </cell>
          <cell r="R232">
            <v>916.66666666666663</v>
          </cell>
          <cell r="S232">
            <v>916.66666666666663</v>
          </cell>
          <cell r="T232">
            <v>916.66666666666663</v>
          </cell>
          <cell r="X232">
            <v>7308.43</v>
          </cell>
        </row>
        <row r="233">
          <cell r="I233">
            <v>229.16666666666666</v>
          </cell>
          <cell r="J233">
            <v>229.16666666666666</v>
          </cell>
          <cell r="K233">
            <v>229.16666666666666</v>
          </cell>
          <cell r="L233">
            <v>229.16666666666666</v>
          </cell>
          <cell r="M233">
            <v>229.16666666666666</v>
          </cell>
          <cell r="N233">
            <v>229.16666666666666</v>
          </cell>
          <cell r="O233">
            <v>229.16666666666666</v>
          </cell>
          <cell r="P233">
            <v>229.16666666666666</v>
          </cell>
          <cell r="Q233">
            <v>229.16666666666666</v>
          </cell>
          <cell r="R233">
            <v>229.16666666666666</v>
          </cell>
          <cell r="S233">
            <v>229.16666666666666</v>
          </cell>
          <cell r="T233">
            <v>229.16666666666666</v>
          </cell>
          <cell r="X233">
            <v>1579.51</v>
          </cell>
        </row>
        <row r="234">
          <cell r="I234">
            <v>146.97916666666666</v>
          </cell>
          <cell r="J234">
            <v>146.97916666666666</v>
          </cell>
          <cell r="K234">
            <v>146.97916666666666</v>
          </cell>
          <cell r="L234">
            <v>146.97916666666666</v>
          </cell>
          <cell r="M234">
            <v>146.97916666666666</v>
          </cell>
          <cell r="N234">
            <v>146.97916666666666</v>
          </cell>
          <cell r="O234">
            <v>146.97916666666666</v>
          </cell>
          <cell r="P234">
            <v>146.97916666666666</v>
          </cell>
          <cell r="Q234">
            <v>146.97916666666666</v>
          </cell>
          <cell r="R234">
            <v>146.97916666666666</v>
          </cell>
          <cell r="S234">
            <v>146.97916666666666</v>
          </cell>
          <cell r="T234">
            <v>146.97916666666666</v>
          </cell>
          <cell r="X234">
            <v>1391.92</v>
          </cell>
        </row>
        <row r="237">
          <cell r="I237">
            <v>77.916666666666671</v>
          </cell>
          <cell r="J237">
            <v>77.916666666666671</v>
          </cell>
          <cell r="K237">
            <v>77.916666666666671</v>
          </cell>
          <cell r="L237">
            <v>77.916666666666671</v>
          </cell>
          <cell r="M237">
            <v>77.916666666666671</v>
          </cell>
          <cell r="N237">
            <v>77.916666666666671</v>
          </cell>
          <cell r="O237">
            <v>77.916666666666671</v>
          </cell>
          <cell r="P237">
            <v>77.916666666666671</v>
          </cell>
          <cell r="Q237">
            <v>77.916666666666671</v>
          </cell>
          <cell r="R237">
            <v>77.916666666666671</v>
          </cell>
          <cell r="S237">
            <v>77.916666666666671</v>
          </cell>
          <cell r="T237">
            <v>77.916666666666671</v>
          </cell>
          <cell r="X237">
            <v>606.16999999999996</v>
          </cell>
        </row>
        <row r="240">
          <cell r="I240">
            <v>550</v>
          </cell>
          <cell r="J240">
            <v>250</v>
          </cell>
          <cell r="K240">
            <v>250</v>
          </cell>
          <cell r="L240">
            <v>250</v>
          </cell>
          <cell r="M240">
            <v>1750</v>
          </cell>
          <cell r="N240">
            <v>250</v>
          </cell>
          <cell r="O240">
            <v>450</v>
          </cell>
          <cell r="P240">
            <v>450</v>
          </cell>
          <cell r="Q240">
            <v>450</v>
          </cell>
          <cell r="R240">
            <v>450</v>
          </cell>
          <cell r="S240">
            <v>450</v>
          </cell>
          <cell r="T240">
            <v>450</v>
          </cell>
          <cell r="X240">
            <v>0</v>
          </cell>
        </row>
        <row r="241">
          <cell r="I241">
            <v>4360</v>
          </cell>
          <cell r="J241">
            <v>245</v>
          </cell>
          <cell r="K241">
            <v>745</v>
          </cell>
          <cell r="L241">
            <v>2385</v>
          </cell>
          <cell r="M241">
            <v>415</v>
          </cell>
          <cell r="N241">
            <v>2400</v>
          </cell>
          <cell r="O241">
            <v>1155</v>
          </cell>
          <cell r="P241">
            <v>2745</v>
          </cell>
          <cell r="Q241">
            <v>310</v>
          </cell>
          <cell r="R241">
            <v>2700</v>
          </cell>
          <cell r="S241">
            <v>2955</v>
          </cell>
          <cell r="T241">
            <v>100</v>
          </cell>
          <cell r="X241">
            <v>10571.32</v>
          </cell>
        </row>
        <row r="243">
          <cell r="I243">
            <v>890.09523809523819</v>
          </cell>
          <cell r="J243">
            <v>890.09523809523819</v>
          </cell>
          <cell r="K243">
            <v>890.09523809523819</v>
          </cell>
          <cell r="L243">
            <v>890.09523809523819</v>
          </cell>
          <cell r="M243">
            <v>890.09523809523819</v>
          </cell>
          <cell r="N243">
            <v>890.09523809523819</v>
          </cell>
          <cell r="O243">
            <v>890.09523809523819</v>
          </cell>
          <cell r="P243">
            <v>890.09523809523819</v>
          </cell>
          <cell r="Q243">
            <v>890.09523809523819</v>
          </cell>
          <cell r="R243">
            <v>5890.0952380952385</v>
          </cell>
          <cell r="S243">
            <v>890.09523809523819</v>
          </cell>
          <cell r="T243">
            <v>890.09523809523819</v>
          </cell>
          <cell r="X243">
            <v>7301.93</v>
          </cell>
        </row>
        <row r="244">
          <cell r="I244">
            <v>1299.6960784313726</v>
          </cell>
          <cell r="J244">
            <v>404.69607843137254</v>
          </cell>
          <cell r="K244">
            <v>999.6960784313726</v>
          </cell>
          <cell r="L244">
            <v>204.69607843137254</v>
          </cell>
          <cell r="M244">
            <v>1184.6960784313726</v>
          </cell>
          <cell r="N244">
            <v>209.69607843137254</v>
          </cell>
          <cell r="O244">
            <v>239.69607843137254</v>
          </cell>
          <cell r="P244">
            <v>444.69607843137254</v>
          </cell>
          <cell r="Q244">
            <v>11409.696078431372</v>
          </cell>
          <cell r="R244">
            <v>3239.6960784313724</v>
          </cell>
          <cell r="S244">
            <v>209.69607843137254</v>
          </cell>
          <cell r="T244">
            <v>-3245.3039215686276</v>
          </cell>
          <cell r="X244">
            <v>5048.82</v>
          </cell>
        </row>
        <row r="248">
          <cell r="I248">
            <v>399</v>
          </cell>
          <cell r="J248">
            <v>199</v>
          </cell>
          <cell r="K248">
            <v>1079</v>
          </cell>
          <cell r="L248">
            <v>199</v>
          </cell>
          <cell r="M248">
            <v>299</v>
          </cell>
          <cell r="N248">
            <v>3299</v>
          </cell>
          <cell r="O248">
            <v>199</v>
          </cell>
          <cell r="P248">
            <v>849</v>
          </cell>
          <cell r="Q248">
            <v>499</v>
          </cell>
          <cell r="R248">
            <v>1499</v>
          </cell>
          <cell r="S248">
            <v>2249</v>
          </cell>
          <cell r="T248">
            <v>1099</v>
          </cell>
          <cell r="X248">
            <v>6217.43</v>
          </cell>
        </row>
        <row r="249">
          <cell r="I249">
            <v>379.66666666666669</v>
          </cell>
          <cell r="J249">
            <v>399.66666666666669</v>
          </cell>
          <cell r="K249">
            <v>379.66666666666669</v>
          </cell>
          <cell r="L249">
            <v>379.66666666666669</v>
          </cell>
          <cell r="M249">
            <v>469.66666666666669</v>
          </cell>
          <cell r="N249">
            <v>449.66666666666669</v>
          </cell>
          <cell r="O249">
            <v>428.66666666666663</v>
          </cell>
          <cell r="P249">
            <v>438.66666666666669</v>
          </cell>
          <cell r="Q249">
            <v>458.66666666666669</v>
          </cell>
          <cell r="R249">
            <v>438.66666666666669</v>
          </cell>
          <cell r="S249">
            <v>458.66666666666669</v>
          </cell>
          <cell r="T249">
            <v>438.66666666666669</v>
          </cell>
          <cell r="X249">
            <v>3565.43</v>
          </cell>
        </row>
        <row r="251">
          <cell r="I251">
            <v>440394.40704000002</v>
          </cell>
          <cell r="J251">
            <v>236078.61111</v>
          </cell>
          <cell r="K251">
            <v>242685.67410999999</v>
          </cell>
          <cell r="L251">
            <v>275246.07111000002</v>
          </cell>
          <cell r="M251">
            <v>231051.82610999999</v>
          </cell>
          <cell r="N251">
            <v>329783.55411000003</v>
          </cell>
          <cell r="O251">
            <v>336065.57640000002</v>
          </cell>
          <cell r="P251">
            <v>238854.74340000001</v>
          </cell>
          <cell r="Q251">
            <v>426299.52578000003</v>
          </cell>
          <cell r="R251">
            <v>499461.10664999997</v>
          </cell>
          <cell r="S251">
            <v>38462.702369999999</v>
          </cell>
          <cell r="T251">
            <v>1769923.98551</v>
          </cell>
          <cell r="U251">
            <v>5064307.7835499998</v>
          </cell>
          <cell r="Y251">
            <v>4455919</v>
          </cell>
        </row>
        <row r="252">
          <cell r="I252">
            <v>274112.61128999997</v>
          </cell>
          <cell r="J252">
            <v>58392.407220000001</v>
          </cell>
          <cell r="K252">
            <v>1480606.3442200001</v>
          </cell>
          <cell r="L252">
            <v>18921.947219999998</v>
          </cell>
          <cell r="M252">
            <v>13552.192220000001</v>
          </cell>
          <cell r="N252">
            <v>179379.46421999999</v>
          </cell>
          <cell r="O252">
            <v>116491.44193</v>
          </cell>
          <cell r="P252">
            <v>-15639.72507</v>
          </cell>
          <cell r="Q252">
            <v>-145590.15745</v>
          </cell>
          <cell r="R252">
            <v>-182360.23832</v>
          </cell>
          <cell r="S252">
            <v>503796.87845999998</v>
          </cell>
          <cell r="T252">
            <v>-733186.11717999994</v>
          </cell>
        </row>
        <row r="253">
          <cell r="Y253">
            <v>43560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1 Highlights"/>
      <sheetName val="6-Hm FY21 Budget Variance (P&amp;L)"/>
      <sheetName val="6-Hm Cash Budget-FY21"/>
      <sheetName val="6-Hm Budget Total-FY21 (P&amp;L)"/>
      <sheetName val="Combined Summary-Proof"/>
      <sheetName val="Development"/>
      <sheetName val="Faith Relations"/>
      <sheetName val="Mgmt"/>
      <sheetName val="ReStore"/>
      <sheetName val="ReStore 2"/>
      <sheetName val="Construction"/>
      <sheetName val="Construction GIK"/>
      <sheetName val="Construction CIP"/>
      <sheetName val="Various 5102 Calculation"/>
      <sheetName val="Repair-New"/>
      <sheetName val="Volunteer"/>
      <sheetName val="Family Selection"/>
      <sheetName val="HO Services"/>
      <sheetName val="HO Support"/>
      <sheetName val="9-Home Variables-Link Source"/>
      <sheetName val="9-Hm Cash Budget-FY21"/>
      <sheetName val="9-Hm Budget Total-FY21 (P&amp;L)"/>
      <sheetName val="Sheet1"/>
      <sheetName val="FY21 Highlights (SC)"/>
      <sheetName val="April P&amp;L"/>
      <sheetName val="March P&amp;L"/>
    </sheetNames>
    <sheetDataSet>
      <sheetData sheetId="0"/>
      <sheetData sheetId="1">
        <row r="4">
          <cell r="G4">
            <v>228237.04</v>
          </cell>
        </row>
        <row r="6">
          <cell r="G6">
            <v>139637.91999999998</v>
          </cell>
        </row>
        <row r="7">
          <cell r="G7">
            <v>19059.5</v>
          </cell>
        </row>
        <row r="8">
          <cell r="G8">
            <v>15089</v>
          </cell>
        </row>
        <row r="9">
          <cell r="G9">
            <v>449407.94</v>
          </cell>
        </row>
        <row r="10">
          <cell r="G10">
            <v>978</v>
          </cell>
        </row>
        <row r="11">
          <cell r="G11">
            <v>-1000</v>
          </cell>
        </row>
        <row r="12">
          <cell r="G12">
            <v>33500</v>
          </cell>
        </row>
        <row r="13">
          <cell r="G13">
            <v>20500</v>
          </cell>
        </row>
        <row r="14">
          <cell r="G14">
            <v>153.38</v>
          </cell>
        </row>
        <row r="15">
          <cell r="G15">
            <v>25705.78</v>
          </cell>
        </row>
        <row r="16">
          <cell r="G16">
            <v>44326.400000000001</v>
          </cell>
        </row>
        <row r="17">
          <cell r="G17">
            <v>89488.39</v>
          </cell>
        </row>
        <row r="18">
          <cell r="G18">
            <v>83857.17</v>
          </cell>
        </row>
        <row r="19">
          <cell r="G19">
            <v>1113976</v>
          </cell>
        </row>
        <row r="20">
          <cell r="G20">
            <v>0</v>
          </cell>
        </row>
        <row r="21">
          <cell r="G21">
            <v>1489662.23</v>
          </cell>
        </row>
        <row r="22">
          <cell r="G22">
            <v>1.1300000000000026</v>
          </cell>
        </row>
        <row r="23">
          <cell r="G23">
            <v>140454.06</v>
          </cell>
        </row>
        <row r="24">
          <cell r="G24">
            <v>46105</v>
          </cell>
        </row>
        <row r="25">
          <cell r="G25">
            <v>20327.509999999998</v>
          </cell>
        </row>
        <row r="26">
          <cell r="G26">
            <v>20346.2</v>
          </cell>
        </row>
        <row r="27">
          <cell r="G27">
            <v>228641.05</v>
          </cell>
        </row>
        <row r="28">
          <cell r="G28">
            <v>2218</v>
          </cell>
        </row>
        <row r="29">
          <cell r="G29">
            <v>15846.94</v>
          </cell>
        </row>
        <row r="30">
          <cell r="G30">
            <v>5534.99</v>
          </cell>
        </row>
        <row r="31">
          <cell r="G31">
            <v>975</v>
          </cell>
        </row>
        <row r="32">
          <cell r="G32">
            <v>987.09</v>
          </cell>
        </row>
        <row r="33">
          <cell r="G33">
            <v>42436.15</v>
          </cell>
        </row>
        <row r="34">
          <cell r="G34">
            <v>15726.02</v>
          </cell>
        </row>
        <row r="35">
          <cell r="G35">
            <v>233306.07</v>
          </cell>
        </row>
        <row r="36">
          <cell r="G36">
            <v>122512.47</v>
          </cell>
        </row>
        <row r="37">
          <cell r="G37">
            <v>-53239.68</v>
          </cell>
        </row>
        <row r="41">
          <cell r="G41">
            <v>4595756.75</v>
          </cell>
        </row>
        <row r="43">
          <cell r="G43">
            <v>14950</v>
          </cell>
        </row>
        <row r="44">
          <cell r="G44">
            <v>79398.31</v>
          </cell>
        </row>
        <row r="45">
          <cell r="G45">
            <v>299</v>
          </cell>
        </row>
        <row r="46">
          <cell r="G46">
            <v>4299.99</v>
          </cell>
        </row>
        <row r="47">
          <cell r="G47">
            <v>501</v>
          </cell>
        </row>
        <row r="48">
          <cell r="G48">
            <v>31771.61</v>
          </cell>
        </row>
        <row r="49">
          <cell r="G49">
            <v>3829.19</v>
          </cell>
        </row>
        <row r="50">
          <cell r="G50">
            <v>16252.99</v>
          </cell>
        </row>
        <row r="51">
          <cell r="G51">
            <v>2287.59</v>
          </cell>
        </row>
        <row r="52">
          <cell r="G52">
            <v>-9.8699999999999974</v>
          </cell>
        </row>
        <row r="53">
          <cell r="G53">
            <v>13300.8</v>
          </cell>
        </row>
        <row r="54">
          <cell r="G54">
            <v>15710.199999999999</v>
          </cell>
        </row>
        <row r="55">
          <cell r="G55">
            <v>21768.799999999999</v>
          </cell>
        </row>
        <row r="56">
          <cell r="G56">
            <v>8233.74</v>
          </cell>
        </row>
        <row r="57">
          <cell r="G57">
            <v>391.65</v>
          </cell>
        </row>
        <row r="58">
          <cell r="G58">
            <v>1319635.2</v>
          </cell>
        </row>
        <row r="59">
          <cell r="G59">
            <v>70603.959999999992</v>
          </cell>
        </row>
        <row r="60">
          <cell r="G60">
            <v>8162.92</v>
          </cell>
        </row>
        <row r="61">
          <cell r="G61">
            <v>1373.25</v>
          </cell>
        </row>
        <row r="62">
          <cell r="G62">
            <v>567.83999999999992</v>
          </cell>
        </row>
        <row r="63">
          <cell r="G63">
            <v>51925.7</v>
          </cell>
        </row>
        <row r="64">
          <cell r="G64">
            <v>355.44</v>
          </cell>
        </row>
        <row r="65">
          <cell r="G65">
            <v>8399.64</v>
          </cell>
        </row>
        <row r="66">
          <cell r="G66">
            <v>10710</v>
          </cell>
        </row>
        <row r="68">
          <cell r="G68">
            <v>10299.959999999999</v>
          </cell>
        </row>
        <row r="69">
          <cell r="G69">
            <v>0</v>
          </cell>
        </row>
        <row r="70">
          <cell r="G70">
            <v>23223.870000000003</v>
          </cell>
        </row>
        <row r="71">
          <cell r="G71">
            <v>128728.1</v>
          </cell>
        </row>
        <row r="72">
          <cell r="G72">
            <v>17884.79</v>
          </cell>
        </row>
        <row r="74">
          <cell r="G74">
            <v>5044.9799999999996</v>
          </cell>
        </row>
        <row r="75">
          <cell r="G75">
            <v>806.85</v>
          </cell>
        </row>
        <row r="76">
          <cell r="G76">
            <v>29765.29</v>
          </cell>
        </row>
        <row r="77">
          <cell r="G77">
            <v>92007.7</v>
          </cell>
        </row>
        <row r="78">
          <cell r="G78">
            <v>39784.18</v>
          </cell>
        </row>
        <row r="79">
          <cell r="G79">
            <v>15708.300000000001</v>
          </cell>
        </row>
        <row r="80">
          <cell r="G80">
            <v>16307.5</v>
          </cell>
        </row>
        <row r="81">
          <cell r="G81">
            <v>34863.99</v>
          </cell>
        </row>
        <row r="82">
          <cell r="G82">
            <v>12590.84</v>
          </cell>
        </row>
        <row r="83">
          <cell r="G83">
            <v>16778.940000000002</v>
          </cell>
        </row>
        <row r="84">
          <cell r="G84">
            <v>1976.04</v>
          </cell>
        </row>
        <row r="85">
          <cell r="G85">
            <v>9669.68</v>
          </cell>
        </row>
        <row r="86">
          <cell r="G86">
            <v>487462.07</v>
          </cell>
        </row>
        <row r="87">
          <cell r="G87">
            <v>22800</v>
          </cell>
        </row>
        <row r="88">
          <cell r="G88">
            <v>8754.39</v>
          </cell>
        </row>
        <row r="89">
          <cell r="G89">
            <v>1556.32</v>
          </cell>
        </row>
        <row r="90">
          <cell r="G90">
            <v>5775.88</v>
          </cell>
        </row>
        <row r="92">
          <cell r="G92">
            <v>146336.59000000003</v>
          </cell>
        </row>
        <row r="93">
          <cell r="G93">
            <v>5733.68</v>
          </cell>
        </row>
        <row r="94">
          <cell r="G94">
            <v>19267.25</v>
          </cell>
        </row>
        <row r="95">
          <cell r="G95">
            <v>3009.7799999999997</v>
          </cell>
        </row>
        <row r="96">
          <cell r="G96">
            <v>15382.64</v>
          </cell>
        </row>
        <row r="97">
          <cell r="G97">
            <v>817.75</v>
          </cell>
        </row>
        <row r="98">
          <cell r="G98">
            <v>6415.43</v>
          </cell>
        </row>
        <row r="99">
          <cell r="G99">
            <v>75</v>
          </cell>
        </row>
        <row r="100">
          <cell r="G100">
            <v>103</v>
          </cell>
        </row>
        <row r="101">
          <cell r="G101">
            <v>14779.36</v>
          </cell>
        </row>
        <row r="102">
          <cell r="G102">
            <v>4652.01</v>
          </cell>
        </row>
        <row r="103">
          <cell r="G103">
            <v>1200</v>
          </cell>
        </row>
        <row r="104">
          <cell r="G104">
            <v>23181.760000000002</v>
          </cell>
        </row>
        <row r="105">
          <cell r="G105">
            <v>7230</v>
          </cell>
        </row>
        <row r="106">
          <cell r="G106">
            <v>17229.48</v>
          </cell>
        </row>
        <row r="107">
          <cell r="G107">
            <v>0</v>
          </cell>
        </row>
        <row r="108">
          <cell r="G108">
            <v>26650.14</v>
          </cell>
        </row>
        <row r="109">
          <cell r="G109">
            <v>13731.62</v>
          </cell>
        </row>
        <row r="110">
          <cell r="G110">
            <v>12544.25</v>
          </cell>
        </row>
        <row r="111">
          <cell r="G111">
            <v>14347.2</v>
          </cell>
        </row>
        <row r="112">
          <cell r="G112">
            <v>955.83</v>
          </cell>
        </row>
        <row r="113">
          <cell r="G113">
            <v>11549.08</v>
          </cell>
        </row>
        <row r="114">
          <cell r="G114">
            <v>4458.7700000000004</v>
          </cell>
        </row>
        <row r="115">
          <cell r="G115">
            <v>555.53</v>
          </cell>
        </row>
        <row r="116">
          <cell r="G116">
            <v>0</v>
          </cell>
        </row>
        <row r="117">
          <cell r="G117">
            <v>5284.65</v>
          </cell>
        </row>
        <row r="118">
          <cell r="G118">
            <v>255.16</v>
          </cell>
        </row>
        <row r="119">
          <cell r="G119">
            <v>2462.54</v>
          </cell>
        </row>
        <row r="120">
          <cell r="G120">
            <v>1362627.17</v>
          </cell>
        </row>
        <row r="121">
          <cell r="G121">
            <v>2816.38</v>
          </cell>
        </row>
        <row r="122">
          <cell r="G122">
            <v>52280</v>
          </cell>
        </row>
        <row r="128">
          <cell r="G128">
            <v>4443044.7499999991</v>
          </cell>
        </row>
        <row r="131">
          <cell r="G131">
            <v>152712.00000000093</v>
          </cell>
        </row>
      </sheetData>
      <sheetData sheetId="2"/>
      <sheetData sheetId="3">
        <row r="5">
          <cell r="B5">
            <v>4010</v>
          </cell>
          <cell r="C5" t="str">
            <v>Individuals</v>
          </cell>
          <cell r="D5">
            <v>11525</v>
          </cell>
          <cell r="E5">
            <v>13590</v>
          </cell>
          <cell r="F5">
            <v>17650</v>
          </cell>
          <cell r="G5">
            <v>9850</v>
          </cell>
          <cell r="H5">
            <v>15815</v>
          </cell>
          <cell r="I5">
            <v>93400</v>
          </cell>
          <cell r="J5">
            <v>18825</v>
          </cell>
          <cell r="K5">
            <v>19575</v>
          </cell>
          <cell r="L5">
            <v>6325</v>
          </cell>
          <cell r="M5">
            <v>13500</v>
          </cell>
          <cell r="N5">
            <v>10515</v>
          </cell>
          <cell r="O5">
            <v>-11357</v>
          </cell>
          <cell r="T5">
            <v>219173.04</v>
          </cell>
        </row>
        <row r="6">
          <cell r="B6">
            <v>4020</v>
          </cell>
          <cell r="C6" t="str">
            <v>Corporations</v>
          </cell>
          <cell r="D6">
            <v>-22250</v>
          </cell>
          <cell r="E6">
            <v>7750</v>
          </cell>
          <cell r="F6">
            <v>12750</v>
          </cell>
          <cell r="G6">
            <v>7750</v>
          </cell>
          <cell r="H6">
            <v>27750</v>
          </cell>
          <cell r="I6">
            <v>29550</v>
          </cell>
          <cell r="J6">
            <v>20250</v>
          </cell>
          <cell r="K6">
            <v>7750</v>
          </cell>
          <cell r="L6">
            <v>27750</v>
          </cell>
          <cell r="M6">
            <v>16750</v>
          </cell>
          <cell r="N6">
            <v>17750</v>
          </cell>
          <cell r="O6">
            <v>88995</v>
          </cell>
          <cell r="T6">
            <v>53937.919999999998</v>
          </cell>
        </row>
        <row r="7">
          <cell r="B7">
            <v>4030</v>
          </cell>
          <cell r="C7" t="str">
            <v>Religious Institutions</v>
          </cell>
          <cell r="D7">
            <v>3200</v>
          </cell>
          <cell r="E7">
            <v>700</v>
          </cell>
          <cell r="F7">
            <v>2200</v>
          </cell>
          <cell r="G7">
            <v>700</v>
          </cell>
          <cell r="H7">
            <v>7700</v>
          </cell>
          <cell r="I7">
            <v>3200</v>
          </cell>
          <cell r="J7">
            <v>700</v>
          </cell>
          <cell r="K7">
            <v>200</v>
          </cell>
          <cell r="L7">
            <v>4700</v>
          </cell>
          <cell r="M7">
            <v>5450</v>
          </cell>
          <cell r="N7">
            <v>7700</v>
          </cell>
          <cell r="O7">
            <v>-3015</v>
          </cell>
          <cell r="T7">
            <v>18559.5</v>
          </cell>
        </row>
        <row r="8">
          <cell r="B8">
            <v>4035</v>
          </cell>
          <cell r="C8" t="str">
            <v>Community Groups</v>
          </cell>
          <cell r="D8">
            <v>0</v>
          </cell>
          <cell r="E8">
            <v>0</v>
          </cell>
          <cell r="F8">
            <v>0</v>
          </cell>
          <cell r="G8">
            <v>0</v>
          </cell>
          <cell r="H8">
            <v>0</v>
          </cell>
          <cell r="I8">
            <v>0</v>
          </cell>
          <cell r="J8">
            <v>0</v>
          </cell>
          <cell r="K8">
            <v>0</v>
          </cell>
          <cell r="L8">
            <v>0</v>
          </cell>
          <cell r="M8">
            <v>0</v>
          </cell>
          <cell r="N8">
            <v>0</v>
          </cell>
          <cell r="O8">
            <v>0</v>
          </cell>
          <cell r="T8">
            <v>12589</v>
          </cell>
        </row>
        <row r="9">
          <cell r="B9">
            <v>4050</v>
          </cell>
          <cell r="C9" t="str">
            <v>Government Grants</v>
          </cell>
          <cell r="D9">
            <v>0</v>
          </cell>
          <cell r="E9">
            <v>0</v>
          </cell>
          <cell r="F9">
            <v>0</v>
          </cell>
          <cell r="G9">
            <v>0</v>
          </cell>
          <cell r="H9">
            <v>0</v>
          </cell>
          <cell r="I9">
            <v>0</v>
          </cell>
          <cell r="J9">
            <v>0</v>
          </cell>
          <cell r="K9">
            <v>0</v>
          </cell>
          <cell r="L9">
            <v>0</v>
          </cell>
          <cell r="M9">
            <v>0</v>
          </cell>
          <cell r="N9">
            <v>0</v>
          </cell>
          <cell r="O9">
            <v>85000</v>
          </cell>
          <cell r="T9">
            <v>437207.94</v>
          </cell>
        </row>
        <row r="10">
          <cell r="B10">
            <v>4055</v>
          </cell>
          <cell r="C10" t="str">
            <v>HFH CO &amp; HFHI Grants</v>
          </cell>
          <cell r="D10">
            <v>5000</v>
          </cell>
          <cell r="E10">
            <v>5000</v>
          </cell>
          <cell r="F10">
            <v>0</v>
          </cell>
          <cell r="G10">
            <v>0</v>
          </cell>
          <cell r="H10">
            <v>0</v>
          </cell>
          <cell r="I10">
            <v>0</v>
          </cell>
          <cell r="J10">
            <v>0</v>
          </cell>
          <cell r="K10">
            <v>0</v>
          </cell>
          <cell r="L10">
            <v>0</v>
          </cell>
          <cell r="M10">
            <v>0</v>
          </cell>
          <cell r="N10">
            <v>0</v>
          </cell>
          <cell r="O10">
            <v>0</v>
          </cell>
          <cell r="T10">
            <v>978</v>
          </cell>
        </row>
        <row r="11">
          <cell r="B11">
            <v>4056</v>
          </cell>
          <cell r="C11" t="str">
            <v>Contra - HFH CO &amp; HFHI Fees</v>
          </cell>
          <cell r="D11">
            <v>0</v>
          </cell>
          <cell r="E11">
            <v>0</v>
          </cell>
          <cell r="F11">
            <v>0</v>
          </cell>
          <cell r="G11">
            <v>0</v>
          </cell>
          <cell r="H11">
            <v>0</v>
          </cell>
          <cell r="I11">
            <v>0</v>
          </cell>
          <cell r="J11">
            <v>0</v>
          </cell>
          <cell r="K11">
            <v>0</v>
          </cell>
          <cell r="L11">
            <v>0</v>
          </cell>
          <cell r="M11">
            <v>0</v>
          </cell>
          <cell r="N11">
            <v>0</v>
          </cell>
          <cell r="O11">
            <v>0</v>
          </cell>
          <cell r="T11">
            <v>0</v>
          </cell>
        </row>
        <row r="12">
          <cell r="B12">
            <v>4080</v>
          </cell>
          <cell r="C12" t="str">
            <v>Corporate Grants</v>
          </cell>
          <cell r="D12">
            <v>0</v>
          </cell>
          <cell r="E12">
            <v>0</v>
          </cell>
          <cell r="F12">
            <v>0</v>
          </cell>
          <cell r="G12">
            <v>0</v>
          </cell>
          <cell r="H12">
            <v>0</v>
          </cell>
          <cell r="I12">
            <v>5000</v>
          </cell>
          <cell r="J12">
            <v>0</v>
          </cell>
          <cell r="K12">
            <v>0</v>
          </cell>
          <cell r="L12">
            <v>0</v>
          </cell>
          <cell r="M12">
            <v>40000</v>
          </cell>
          <cell r="N12">
            <v>303313</v>
          </cell>
          <cell r="O12">
            <v>5000</v>
          </cell>
          <cell r="T12">
            <v>33500</v>
          </cell>
        </row>
        <row r="13">
          <cell r="B13">
            <v>4090</v>
          </cell>
          <cell r="C13" t="str">
            <v>Foundation Grants</v>
          </cell>
          <cell r="D13">
            <v>0</v>
          </cell>
          <cell r="E13">
            <v>5000</v>
          </cell>
          <cell r="F13">
            <v>0</v>
          </cell>
          <cell r="G13">
            <v>87500</v>
          </cell>
          <cell r="H13">
            <v>0</v>
          </cell>
          <cell r="I13">
            <v>5000</v>
          </cell>
          <cell r="J13">
            <v>0</v>
          </cell>
          <cell r="K13">
            <v>0</v>
          </cell>
          <cell r="L13">
            <v>0</v>
          </cell>
          <cell r="M13">
            <v>0</v>
          </cell>
          <cell r="N13">
            <v>0</v>
          </cell>
          <cell r="O13">
            <v>0</v>
          </cell>
          <cell r="T13">
            <v>20500</v>
          </cell>
        </row>
        <row r="14">
          <cell r="B14" t="str">
            <v>4110</v>
          </cell>
          <cell r="C14" t="str">
            <v>In Kind - Individuals</v>
          </cell>
          <cell r="D14"/>
          <cell r="E14"/>
          <cell r="F14"/>
          <cell r="G14"/>
          <cell r="H14"/>
          <cell r="I14"/>
          <cell r="J14"/>
          <cell r="K14"/>
          <cell r="L14"/>
          <cell r="M14"/>
          <cell r="N14"/>
          <cell r="O14"/>
        </row>
        <row r="15">
          <cell r="B15">
            <v>4120</v>
          </cell>
          <cell r="C15" t="str">
            <v>GIK Business Materials</v>
          </cell>
          <cell r="D15">
            <v>8000</v>
          </cell>
          <cell r="E15">
            <v>1235</v>
          </cell>
          <cell r="F15">
            <v>1235</v>
          </cell>
          <cell r="G15">
            <v>0</v>
          </cell>
          <cell r="H15">
            <v>0</v>
          </cell>
          <cell r="I15">
            <v>2470</v>
          </cell>
          <cell r="J15">
            <v>3705</v>
          </cell>
          <cell r="K15">
            <v>2470</v>
          </cell>
          <cell r="L15">
            <v>2470</v>
          </cell>
          <cell r="M15">
            <v>1235</v>
          </cell>
          <cell r="N15">
            <v>0</v>
          </cell>
          <cell r="O15">
            <v>50000</v>
          </cell>
        </row>
        <row r="16">
          <cell r="B16">
            <v>4140</v>
          </cell>
          <cell r="C16" t="str">
            <v>GIK HFHI</v>
          </cell>
          <cell r="D16">
            <v>0</v>
          </cell>
          <cell r="E16">
            <v>1164</v>
          </cell>
          <cell r="F16">
            <v>4425</v>
          </cell>
          <cell r="G16">
            <v>3240</v>
          </cell>
          <cell r="H16">
            <v>8188</v>
          </cell>
          <cell r="I16">
            <v>5889</v>
          </cell>
          <cell r="J16">
            <v>7053</v>
          </cell>
          <cell r="K16">
            <v>8021</v>
          </cell>
          <cell r="L16">
            <v>5526</v>
          </cell>
          <cell r="M16">
            <v>3296</v>
          </cell>
          <cell r="N16">
            <v>2132</v>
          </cell>
          <cell r="O16">
            <v>1066</v>
          </cell>
        </row>
        <row r="17">
          <cell r="B17">
            <v>4170</v>
          </cell>
          <cell r="C17" t="str">
            <v>In Kind - Businesses</v>
          </cell>
          <cell r="D17">
            <v>48</v>
          </cell>
          <cell r="E17">
            <v>48</v>
          </cell>
          <cell r="F17">
            <v>48</v>
          </cell>
          <cell r="G17">
            <v>144</v>
          </cell>
          <cell r="H17">
            <v>192</v>
          </cell>
          <cell r="I17">
            <v>1195</v>
          </cell>
          <cell r="J17">
            <v>240</v>
          </cell>
          <cell r="K17">
            <v>240</v>
          </cell>
          <cell r="L17">
            <v>240</v>
          </cell>
          <cell r="M17">
            <v>240</v>
          </cell>
          <cell r="N17">
            <v>3240</v>
          </cell>
          <cell r="O17">
            <v>2150</v>
          </cell>
        </row>
        <row r="18">
          <cell r="B18" t="str">
            <v>4195</v>
          </cell>
          <cell r="C18" t="str">
            <v>In-Kind - Inventory</v>
          </cell>
          <cell r="D18">
            <v>0</v>
          </cell>
          <cell r="E18">
            <v>0</v>
          </cell>
          <cell r="F18">
            <v>1500000</v>
          </cell>
          <cell r="G18">
            <v>0</v>
          </cell>
          <cell r="H18">
            <v>0</v>
          </cell>
          <cell r="I18">
            <v>0</v>
          </cell>
          <cell r="J18">
            <v>0</v>
          </cell>
          <cell r="K18">
            <v>0</v>
          </cell>
          <cell r="L18">
            <v>0</v>
          </cell>
          <cell r="M18">
            <v>0</v>
          </cell>
          <cell r="N18">
            <v>0</v>
          </cell>
          <cell r="O18">
            <v>0</v>
          </cell>
        </row>
        <row r="19">
          <cell r="B19" t="str">
            <v>4200/4202</v>
          </cell>
          <cell r="C19" t="str">
            <v>Sale to Homeowners</v>
          </cell>
          <cell r="D19">
            <v>342000</v>
          </cell>
          <cell r="E19">
            <v>0</v>
          </cell>
          <cell r="F19">
            <v>0</v>
          </cell>
          <cell r="G19">
            <v>0</v>
          </cell>
          <cell r="H19">
            <v>0</v>
          </cell>
          <cell r="I19">
            <v>174000</v>
          </cell>
          <cell r="J19">
            <v>215000</v>
          </cell>
          <cell r="K19">
            <v>0</v>
          </cell>
          <cell r="L19">
            <v>0</v>
          </cell>
          <cell r="M19">
            <v>0</v>
          </cell>
          <cell r="N19">
            <v>-40000</v>
          </cell>
          <cell r="O19">
            <v>622500</v>
          </cell>
        </row>
        <row r="20">
          <cell r="B20" t="str">
            <v>4202</v>
          </cell>
          <cell r="C20" t="str">
            <v>Home Purchase Down Payments</v>
          </cell>
          <cell r="D20">
            <v>2000</v>
          </cell>
          <cell r="E20">
            <v>0</v>
          </cell>
          <cell r="F20">
            <v>0</v>
          </cell>
          <cell r="G20">
            <v>0</v>
          </cell>
          <cell r="H20">
            <v>0</v>
          </cell>
          <cell r="I20">
            <v>1000</v>
          </cell>
          <cell r="J20">
            <v>1000</v>
          </cell>
          <cell r="K20">
            <v>0</v>
          </cell>
          <cell r="L20">
            <v>2000</v>
          </cell>
          <cell r="M20">
            <v>2000</v>
          </cell>
          <cell r="N20">
            <v>-3000</v>
          </cell>
          <cell r="O20">
            <v>2000</v>
          </cell>
          <cell r="T20">
            <v>0</v>
          </cell>
        </row>
        <row r="21">
          <cell r="B21">
            <v>4410</v>
          </cell>
          <cell r="C21" t="str">
            <v>Resale Store Income Gross</v>
          </cell>
          <cell r="D21">
            <v>145833.33333333334</v>
          </cell>
          <cell r="E21">
            <v>145833.33333333334</v>
          </cell>
          <cell r="F21">
            <v>145833.33333333334</v>
          </cell>
          <cell r="G21">
            <v>145833.33333333334</v>
          </cell>
          <cell r="H21">
            <v>145833.33333333334</v>
          </cell>
          <cell r="I21">
            <v>145833.33333333334</v>
          </cell>
          <cell r="J21">
            <v>145833.33333333334</v>
          </cell>
          <cell r="K21">
            <v>145833.33333333334</v>
          </cell>
          <cell r="L21">
            <v>187433.33333333334</v>
          </cell>
          <cell r="M21">
            <v>190033.33333333334</v>
          </cell>
          <cell r="N21">
            <v>195333.33333333334</v>
          </cell>
          <cell r="O21">
            <v>69064.333333333343</v>
          </cell>
          <cell r="T21">
            <v>1307662.23</v>
          </cell>
        </row>
        <row r="22">
          <cell r="B22" t="str">
            <v>4410-01</v>
          </cell>
          <cell r="C22" t="str">
            <v>Short/Over Resale Store Inc Gro</v>
          </cell>
          <cell r="D22">
            <v>10</v>
          </cell>
          <cell r="E22">
            <v>10</v>
          </cell>
          <cell r="F22">
            <v>10</v>
          </cell>
          <cell r="G22">
            <v>10</v>
          </cell>
          <cell r="H22">
            <v>10</v>
          </cell>
          <cell r="I22">
            <v>10</v>
          </cell>
          <cell r="J22">
            <v>10</v>
          </cell>
          <cell r="K22">
            <v>10</v>
          </cell>
          <cell r="L22">
            <v>10</v>
          </cell>
          <cell r="M22">
            <v>10</v>
          </cell>
          <cell r="N22">
            <v>10</v>
          </cell>
          <cell r="O22">
            <v>10</v>
          </cell>
          <cell r="T22">
            <v>-34.869999999999997</v>
          </cell>
        </row>
        <row r="23">
          <cell r="B23" t="str">
            <v>4410-02</v>
          </cell>
          <cell r="C23" t="str">
            <v>Purchased Goods/Sales Inventory</v>
          </cell>
          <cell r="D23">
            <v>12916.666666666666</v>
          </cell>
          <cell r="E23">
            <v>12916.666666666666</v>
          </cell>
          <cell r="F23">
            <v>12916.666666666666</v>
          </cell>
          <cell r="G23">
            <v>12916.666666666666</v>
          </cell>
          <cell r="H23">
            <v>12916.666666666666</v>
          </cell>
          <cell r="I23">
            <v>12916.666666666666</v>
          </cell>
          <cell r="J23">
            <v>12916.666666666666</v>
          </cell>
          <cell r="K23">
            <v>12916.666666666666</v>
          </cell>
          <cell r="L23">
            <v>17076.666666666664</v>
          </cell>
          <cell r="M23">
            <v>17336.666666666664</v>
          </cell>
          <cell r="N23">
            <v>17866.666666666664</v>
          </cell>
          <cell r="O23">
            <v>17856.666666666664</v>
          </cell>
          <cell r="T23">
            <v>120454.06</v>
          </cell>
        </row>
        <row r="24">
          <cell r="B24" t="str">
            <v>4410-03</v>
          </cell>
          <cell r="C24" t="str">
            <v>Purchased Paint-Consignment</v>
          </cell>
          <cell r="D24">
            <v>5000</v>
          </cell>
          <cell r="E24">
            <v>5000</v>
          </cell>
          <cell r="F24">
            <v>5000</v>
          </cell>
          <cell r="G24">
            <v>5000</v>
          </cell>
          <cell r="H24">
            <v>5000</v>
          </cell>
          <cell r="I24">
            <v>5000</v>
          </cell>
          <cell r="J24">
            <v>5000</v>
          </cell>
          <cell r="K24">
            <v>5000</v>
          </cell>
          <cell r="L24">
            <v>5457.6</v>
          </cell>
          <cell r="M24">
            <v>5486.2</v>
          </cell>
          <cell r="N24">
            <v>5544.5</v>
          </cell>
          <cell r="O24">
            <v>5543.4</v>
          </cell>
          <cell r="T24">
            <v>42105</v>
          </cell>
        </row>
        <row r="25">
          <cell r="B25">
            <v>4451</v>
          </cell>
          <cell r="C25" t="str">
            <v>Individual Donation - ReStore</v>
          </cell>
          <cell r="D25">
            <v>1833.3333333333333</v>
          </cell>
          <cell r="E25">
            <v>1833.3333333333333</v>
          </cell>
          <cell r="F25">
            <v>1833.3333333333333</v>
          </cell>
          <cell r="G25">
            <v>1833.3333333333333</v>
          </cell>
          <cell r="H25">
            <v>1833.3333333333333</v>
          </cell>
          <cell r="I25">
            <v>1833.3333333333333</v>
          </cell>
          <cell r="J25">
            <v>1833.3333333333333</v>
          </cell>
          <cell r="K25">
            <v>1833.3333333333333</v>
          </cell>
          <cell r="L25">
            <v>2155.083333333333</v>
          </cell>
          <cell r="M25">
            <v>2197.9833333333331</v>
          </cell>
          <cell r="N25">
            <v>2264.395833333333</v>
          </cell>
          <cell r="O25">
            <v>2283.7833333333333</v>
          </cell>
          <cell r="T25">
            <v>17727.509999999998</v>
          </cell>
        </row>
        <row r="26">
          <cell r="B26">
            <v>4520</v>
          </cell>
          <cell r="C26" t="str">
            <v>ReStore Program Income</v>
          </cell>
          <cell r="D26">
            <v>2500</v>
          </cell>
          <cell r="E26">
            <v>2500</v>
          </cell>
          <cell r="F26">
            <v>2500</v>
          </cell>
          <cell r="G26">
            <v>2500</v>
          </cell>
          <cell r="H26">
            <v>2500</v>
          </cell>
          <cell r="I26">
            <v>2500</v>
          </cell>
          <cell r="J26">
            <v>2500</v>
          </cell>
          <cell r="K26">
            <v>2500</v>
          </cell>
          <cell r="L26">
            <v>2700</v>
          </cell>
          <cell r="M26">
            <v>2700</v>
          </cell>
          <cell r="N26">
            <v>2700</v>
          </cell>
          <cell r="O26">
            <v>2750</v>
          </cell>
          <cell r="T26">
            <v>17721.2</v>
          </cell>
        </row>
        <row r="27">
          <cell r="B27">
            <v>4505</v>
          </cell>
          <cell r="C27" t="str">
            <v>Mortgage Discount Amortization</v>
          </cell>
          <cell r="D27">
            <v>15000</v>
          </cell>
          <cell r="E27">
            <v>15000</v>
          </cell>
          <cell r="F27">
            <v>15000</v>
          </cell>
          <cell r="G27">
            <v>15000</v>
          </cell>
          <cell r="H27">
            <v>15000</v>
          </cell>
          <cell r="I27">
            <v>15000</v>
          </cell>
          <cell r="J27">
            <v>15000</v>
          </cell>
          <cell r="K27">
            <v>15000</v>
          </cell>
          <cell r="L27">
            <v>15000</v>
          </cell>
          <cell r="M27">
            <v>15000</v>
          </cell>
          <cell r="N27">
            <v>15000</v>
          </cell>
          <cell r="O27">
            <v>95000</v>
          </cell>
        </row>
        <row r="28">
          <cell r="B28">
            <v>4518</v>
          </cell>
          <cell r="C28" t="str">
            <v>Repair Program</v>
          </cell>
          <cell r="D28">
            <v>0</v>
          </cell>
          <cell r="E28">
            <v>0</v>
          </cell>
          <cell r="F28">
            <v>0</v>
          </cell>
          <cell r="G28">
            <v>0</v>
          </cell>
          <cell r="H28">
            <v>0</v>
          </cell>
          <cell r="I28">
            <v>0</v>
          </cell>
          <cell r="J28">
            <v>0</v>
          </cell>
          <cell r="K28">
            <v>0</v>
          </cell>
          <cell r="L28">
            <v>0</v>
          </cell>
          <cell r="M28">
            <v>0</v>
          </cell>
          <cell r="N28">
            <v>0</v>
          </cell>
          <cell r="O28">
            <v>0</v>
          </cell>
        </row>
        <row r="29">
          <cell r="B29">
            <v>4525</v>
          </cell>
          <cell r="C29" t="str">
            <v>Vendor Adj/Disc. Income</v>
          </cell>
          <cell r="D29">
            <v>0</v>
          </cell>
          <cell r="E29">
            <v>0</v>
          </cell>
          <cell r="F29">
            <v>0</v>
          </cell>
          <cell r="G29">
            <v>0</v>
          </cell>
          <cell r="H29">
            <v>0</v>
          </cell>
          <cell r="I29">
            <v>3500</v>
          </cell>
          <cell r="J29">
            <v>0</v>
          </cell>
          <cell r="K29">
            <v>0</v>
          </cell>
          <cell r="L29">
            <v>0</v>
          </cell>
          <cell r="M29">
            <v>0</v>
          </cell>
          <cell r="N29">
            <v>0</v>
          </cell>
          <cell r="O29">
            <v>0</v>
          </cell>
        </row>
        <row r="30">
          <cell r="B30">
            <v>4526</v>
          </cell>
          <cell r="C30" t="str">
            <v>Insurance Adjustment</v>
          </cell>
          <cell r="D30"/>
          <cell r="E30"/>
          <cell r="F30"/>
          <cell r="G30"/>
          <cell r="H30"/>
          <cell r="I30"/>
          <cell r="J30"/>
          <cell r="K30"/>
          <cell r="L30"/>
          <cell r="M30"/>
          <cell r="N30"/>
          <cell r="O30"/>
        </row>
        <row r="31">
          <cell r="B31">
            <v>4530</v>
          </cell>
          <cell r="C31" t="str">
            <v>Application Fees</v>
          </cell>
          <cell r="D31">
            <v>25</v>
          </cell>
          <cell r="E31">
            <v>25</v>
          </cell>
          <cell r="F31">
            <v>25</v>
          </cell>
          <cell r="G31">
            <v>25</v>
          </cell>
          <cell r="H31">
            <v>0</v>
          </cell>
          <cell r="I31">
            <v>0</v>
          </cell>
          <cell r="J31">
            <v>825</v>
          </cell>
          <cell r="K31">
            <v>0</v>
          </cell>
          <cell r="L31">
            <v>0</v>
          </cell>
          <cell r="M31">
            <v>0</v>
          </cell>
          <cell r="N31">
            <v>25</v>
          </cell>
          <cell r="O31">
            <v>25</v>
          </cell>
          <cell r="T31">
            <v>975</v>
          </cell>
        </row>
        <row r="32">
          <cell r="B32">
            <v>4550</v>
          </cell>
          <cell r="C32" t="str">
            <v>Late Fee Income</v>
          </cell>
          <cell r="D32">
            <v>80</v>
          </cell>
          <cell r="E32">
            <v>80</v>
          </cell>
          <cell r="F32">
            <v>80</v>
          </cell>
          <cell r="G32">
            <v>80</v>
          </cell>
          <cell r="H32">
            <v>80</v>
          </cell>
          <cell r="I32">
            <v>80</v>
          </cell>
          <cell r="J32">
            <v>80</v>
          </cell>
          <cell r="K32">
            <v>80</v>
          </cell>
          <cell r="L32">
            <v>80</v>
          </cell>
          <cell r="M32">
            <v>80</v>
          </cell>
          <cell r="N32">
            <v>80</v>
          </cell>
          <cell r="O32">
            <v>80</v>
          </cell>
          <cell r="T32">
            <v>847.09</v>
          </cell>
        </row>
        <row r="33">
          <cell r="B33" t="str">
            <v>4610</v>
          </cell>
          <cell r="C33" t="str">
            <v>Dividend Income</v>
          </cell>
          <cell r="D33">
            <v>1244.0489285714286</v>
          </cell>
          <cell r="E33">
            <v>1244.0489285714286</v>
          </cell>
          <cell r="F33">
            <v>1244.0489285714286</v>
          </cell>
          <cell r="G33">
            <v>1244.0489285714286</v>
          </cell>
          <cell r="H33">
            <v>1244.0489285714286</v>
          </cell>
          <cell r="I33">
            <v>1244.0489285714286</v>
          </cell>
          <cell r="J33">
            <v>1244.0489285714286</v>
          </cell>
          <cell r="K33">
            <v>1244.0489285714286</v>
          </cell>
          <cell r="L33">
            <v>1244.0489285714286</v>
          </cell>
          <cell r="M33">
            <v>1244.0489285714286</v>
          </cell>
          <cell r="N33">
            <v>1244.0489285714286</v>
          </cell>
          <cell r="O33">
            <v>1244.0489285714286</v>
          </cell>
          <cell r="T33">
            <v>37436.15</v>
          </cell>
        </row>
        <row r="34">
          <cell r="B34">
            <v>4615</v>
          </cell>
          <cell r="C34" t="str">
            <v>Interest Income</v>
          </cell>
          <cell r="D34">
            <v>541.63607142857154</v>
          </cell>
          <cell r="E34">
            <v>541.63607142857154</v>
          </cell>
          <cell r="F34">
            <v>541.63607142857154</v>
          </cell>
          <cell r="G34">
            <v>541.63607142857154</v>
          </cell>
          <cell r="H34">
            <v>541.63607142857154</v>
          </cell>
          <cell r="I34">
            <v>541.63607142857154</v>
          </cell>
          <cell r="J34">
            <v>541.63607142857154</v>
          </cell>
          <cell r="K34">
            <v>541.63607142857154</v>
          </cell>
          <cell r="L34">
            <v>541.63607142857154</v>
          </cell>
          <cell r="M34">
            <v>541.63607142857154</v>
          </cell>
          <cell r="N34">
            <v>541.63607142857154</v>
          </cell>
          <cell r="O34">
            <v>541.63607142857154</v>
          </cell>
          <cell r="T34">
            <v>14726.02</v>
          </cell>
        </row>
        <row r="35">
          <cell r="B35" t="str">
            <v>4636</v>
          </cell>
          <cell r="C35" t="str">
            <v>Gain/Loss on Mortgage Sale(s)</v>
          </cell>
          <cell r="D35">
            <v>180000</v>
          </cell>
          <cell r="E35">
            <v>0</v>
          </cell>
          <cell r="F35">
            <v>0</v>
          </cell>
          <cell r="G35">
            <v>0</v>
          </cell>
          <cell r="H35">
            <v>0</v>
          </cell>
          <cell r="I35">
            <v>0</v>
          </cell>
          <cell r="J35">
            <v>0</v>
          </cell>
          <cell r="K35">
            <v>0</v>
          </cell>
          <cell r="L35">
            <v>0</v>
          </cell>
          <cell r="M35">
            <v>0</v>
          </cell>
          <cell r="N35">
            <v>0</v>
          </cell>
          <cell r="O35">
            <v>0</v>
          </cell>
        </row>
        <row r="36">
          <cell r="B36" t="str">
            <v>Other</v>
          </cell>
          <cell r="C36" t="str">
            <v>Beq/Unrealized loss/inkind home/etc</v>
          </cell>
          <cell r="D36"/>
          <cell r="E36"/>
          <cell r="F36"/>
          <cell r="G36"/>
          <cell r="H36"/>
          <cell r="I36"/>
          <cell r="J36"/>
          <cell r="K36"/>
          <cell r="L36"/>
          <cell r="M36"/>
          <cell r="N36"/>
          <cell r="O36"/>
        </row>
        <row r="37">
          <cell r="B37">
            <v>4638</v>
          </cell>
          <cell r="C37" t="str">
            <v>Gain/Loss on Residence Dispos'n</v>
          </cell>
          <cell r="D37">
            <v>0</v>
          </cell>
          <cell r="E37">
            <v>75000</v>
          </cell>
          <cell r="F37">
            <v>0</v>
          </cell>
          <cell r="G37">
            <v>0</v>
          </cell>
          <cell r="H37">
            <v>0</v>
          </cell>
          <cell r="I37">
            <v>0</v>
          </cell>
          <cell r="J37">
            <v>0</v>
          </cell>
          <cell r="K37">
            <v>0</v>
          </cell>
          <cell r="L37">
            <v>0</v>
          </cell>
          <cell r="M37">
            <v>0</v>
          </cell>
          <cell r="N37">
            <v>0</v>
          </cell>
          <cell r="O37">
            <v>0</v>
          </cell>
        </row>
        <row r="40">
          <cell r="B40">
            <v>7310</v>
          </cell>
          <cell r="C40" t="str">
            <v>Accounting Fees</v>
          </cell>
          <cell r="D40">
            <v>0</v>
          </cell>
          <cell r="E40">
            <v>0</v>
          </cell>
          <cell r="F40">
            <v>0</v>
          </cell>
          <cell r="G40">
            <v>16170.000000000002</v>
          </cell>
          <cell r="H40">
            <v>0</v>
          </cell>
          <cell r="I40">
            <v>0</v>
          </cell>
          <cell r="J40">
            <v>0</v>
          </cell>
          <cell r="K40">
            <v>0</v>
          </cell>
          <cell r="L40">
            <v>0</v>
          </cell>
          <cell r="M40">
            <v>0</v>
          </cell>
          <cell r="N40">
            <v>0</v>
          </cell>
          <cell r="O40">
            <v>0</v>
          </cell>
          <cell r="T40">
            <v>14950</v>
          </cell>
        </row>
        <row r="41">
          <cell r="B41" t="str">
            <v>*386</v>
          </cell>
          <cell r="C41" t="str">
            <v>Advertising &amp; Marketing</v>
          </cell>
          <cell r="D41">
            <v>7050</v>
          </cell>
          <cell r="E41">
            <v>6750</v>
          </cell>
          <cell r="F41">
            <v>6750</v>
          </cell>
          <cell r="G41">
            <v>6750</v>
          </cell>
          <cell r="H41">
            <v>8250</v>
          </cell>
          <cell r="I41">
            <v>6750</v>
          </cell>
          <cell r="J41">
            <v>6950</v>
          </cell>
          <cell r="K41">
            <v>11950</v>
          </cell>
          <cell r="L41">
            <v>10450</v>
          </cell>
          <cell r="M41">
            <v>8950</v>
          </cell>
          <cell r="N41">
            <v>7950</v>
          </cell>
          <cell r="O41">
            <v>7950</v>
          </cell>
          <cell r="T41">
            <v>61998.31</v>
          </cell>
        </row>
        <row r="42">
          <cell r="B42">
            <v>5405</v>
          </cell>
          <cell r="C42" t="str">
            <v>Advocacy</v>
          </cell>
          <cell r="D42">
            <v>0</v>
          </cell>
          <cell r="E42">
            <v>0</v>
          </cell>
          <cell r="F42">
            <v>0</v>
          </cell>
          <cell r="G42">
            <v>0</v>
          </cell>
          <cell r="H42">
            <v>0</v>
          </cell>
          <cell r="I42">
            <v>0</v>
          </cell>
          <cell r="J42">
            <v>50</v>
          </cell>
          <cell r="K42">
            <v>250</v>
          </cell>
          <cell r="L42">
            <v>50</v>
          </cell>
          <cell r="M42">
            <v>50</v>
          </cell>
          <cell r="N42">
            <v>50</v>
          </cell>
          <cell r="O42">
            <v>50</v>
          </cell>
          <cell r="T42">
            <v>299</v>
          </cell>
        </row>
        <row r="43">
          <cell r="B43" t="str">
            <v>*295</v>
          </cell>
          <cell r="C43" t="str">
            <v>Americorp/VISTA</v>
          </cell>
          <cell r="D43">
            <v>1000</v>
          </cell>
          <cell r="E43">
            <v>1000</v>
          </cell>
          <cell r="F43">
            <v>1000</v>
          </cell>
          <cell r="G43">
            <v>1000</v>
          </cell>
          <cell r="H43">
            <v>1000</v>
          </cell>
          <cell r="I43">
            <v>1000</v>
          </cell>
          <cell r="J43">
            <v>1000</v>
          </cell>
          <cell r="K43">
            <v>1000</v>
          </cell>
          <cell r="L43">
            <v>0</v>
          </cell>
          <cell r="M43">
            <v>0</v>
          </cell>
          <cell r="N43">
            <v>0</v>
          </cell>
          <cell r="O43">
            <v>0</v>
          </cell>
          <cell r="T43">
            <v>2499.9899999999998</v>
          </cell>
        </row>
        <row r="44">
          <cell r="B44" t="str">
            <v>5206-1</v>
          </cell>
          <cell r="C44" t="str">
            <v>Background Checks</v>
          </cell>
          <cell r="D44">
            <v>27.5</v>
          </cell>
          <cell r="E44">
            <v>27.5</v>
          </cell>
          <cell r="F44">
            <v>27.5</v>
          </cell>
          <cell r="G44">
            <v>27.5</v>
          </cell>
          <cell r="H44">
            <v>27.5</v>
          </cell>
          <cell r="I44">
            <v>27.5</v>
          </cell>
          <cell r="J44">
            <v>12.5</v>
          </cell>
          <cell r="K44">
            <v>42.5</v>
          </cell>
          <cell r="L44">
            <v>252.5</v>
          </cell>
          <cell r="M44">
            <v>12.5</v>
          </cell>
          <cell r="N44">
            <v>57.5</v>
          </cell>
          <cell r="O44">
            <v>27.5</v>
          </cell>
          <cell r="T44">
            <v>501</v>
          </cell>
        </row>
        <row r="45">
          <cell r="B45" t="str">
            <v>*325</v>
          </cell>
          <cell r="C45" t="str">
            <v>Bank &amp; Credit Card Fees</v>
          </cell>
          <cell r="D45">
            <v>3066.6666666666665</v>
          </cell>
          <cell r="E45">
            <v>3316.6666666666665</v>
          </cell>
          <cell r="F45">
            <v>3066.6666666666665</v>
          </cell>
          <cell r="G45">
            <v>3066.6666666666665</v>
          </cell>
          <cell r="H45">
            <v>3066.6666666666665</v>
          </cell>
          <cell r="I45">
            <v>3101.6666666666665</v>
          </cell>
          <cell r="J45">
            <v>2991.6666666666665</v>
          </cell>
          <cell r="K45">
            <v>2991.6666666666665</v>
          </cell>
          <cell r="L45">
            <v>3400.3760416666664</v>
          </cell>
          <cell r="M45">
            <v>3454.5372916666665</v>
          </cell>
          <cell r="N45">
            <v>3538.3830729166666</v>
          </cell>
          <cell r="O45">
            <v>3598.4847916666663</v>
          </cell>
          <cell r="T45">
            <v>27633.61</v>
          </cell>
        </row>
        <row r="46">
          <cell r="B46">
            <v>7356</v>
          </cell>
          <cell r="C46" t="str">
            <v>Board of Directors</v>
          </cell>
          <cell r="D46">
            <v>-515</v>
          </cell>
          <cell r="E46">
            <v>25</v>
          </cell>
          <cell r="F46">
            <v>0</v>
          </cell>
          <cell r="G46">
            <v>500</v>
          </cell>
          <cell r="H46">
            <v>25</v>
          </cell>
          <cell r="I46">
            <v>25</v>
          </cell>
          <cell r="J46">
            <v>0</v>
          </cell>
          <cell r="K46">
            <v>25</v>
          </cell>
          <cell r="L46">
            <v>1800</v>
          </cell>
          <cell r="M46">
            <v>25</v>
          </cell>
          <cell r="N46">
            <v>25</v>
          </cell>
          <cell r="O46">
            <v>65</v>
          </cell>
          <cell r="T46">
            <v>3729.19</v>
          </cell>
        </row>
        <row r="47">
          <cell r="B47">
            <v>5105</v>
          </cell>
          <cell r="C47" t="str">
            <v>Building &amp; Personal Prop Ins.</v>
          </cell>
          <cell r="D47">
            <v>1458.3333333333333</v>
          </cell>
          <cell r="E47">
            <v>1458.3333333333333</v>
          </cell>
          <cell r="F47">
            <v>1458.3333333333333</v>
          </cell>
          <cell r="G47">
            <v>1458.3333333333333</v>
          </cell>
          <cell r="H47">
            <v>1458.3333333333333</v>
          </cell>
          <cell r="I47">
            <v>1458.3333333333333</v>
          </cell>
          <cell r="J47">
            <v>1458.3333333333333</v>
          </cell>
          <cell r="K47">
            <v>1458.3333333333333</v>
          </cell>
          <cell r="L47">
            <v>2658.333333333333</v>
          </cell>
          <cell r="M47">
            <v>2658.333333333333</v>
          </cell>
          <cell r="N47">
            <v>2658.333333333333</v>
          </cell>
          <cell r="O47">
            <v>2658.333333333333</v>
          </cell>
          <cell r="T47">
            <v>13452.99</v>
          </cell>
        </row>
        <row r="48">
          <cell r="B48">
            <v>5361</v>
          </cell>
          <cell r="C48" t="str">
            <v>Building Equipment &amp; Repairs</v>
          </cell>
          <cell r="D48">
            <v>4166.666666666667</v>
          </cell>
          <cell r="E48">
            <v>4166.666666666667</v>
          </cell>
          <cell r="F48">
            <v>4166.666666666667</v>
          </cell>
          <cell r="G48">
            <v>4166.666666666667</v>
          </cell>
          <cell r="H48">
            <v>4166.666666666667</v>
          </cell>
          <cell r="I48">
            <v>4166.666666666667</v>
          </cell>
          <cell r="J48">
            <v>4166.666666666667</v>
          </cell>
          <cell r="K48">
            <v>4166.666666666667</v>
          </cell>
          <cell r="L48">
            <v>4166.666666666667</v>
          </cell>
          <cell r="M48">
            <v>4166.666666666667</v>
          </cell>
          <cell r="N48">
            <v>4166.666666666667</v>
          </cell>
          <cell r="O48">
            <v>4416.666666666667</v>
          </cell>
          <cell r="T48">
            <v>2287.59</v>
          </cell>
        </row>
        <row r="49">
          <cell r="B49">
            <v>5572</v>
          </cell>
          <cell r="C49" t="str">
            <v>Cash Short and Over</v>
          </cell>
          <cell r="D49">
            <v>0</v>
          </cell>
          <cell r="E49">
            <v>0</v>
          </cell>
          <cell r="F49">
            <v>0</v>
          </cell>
          <cell r="G49">
            <v>0</v>
          </cell>
          <cell r="H49">
            <v>0</v>
          </cell>
          <cell r="I49">
            <v>0</v>
          </cell>
          <cell r="J49">
            <v>0</v>
          </cell>
          <cell r="K49">
            <v>0</v>
          </cell>
          <cell r="L49">
            <v>0</v>
          </cell>
          <cell r="M49">
            <v>0</v>
          </cell>
          <cell r="N49">
            <v>0</v>
          </cell>
          <cell r="O49">
            <v>0</v>
          </cell>
        </row>
        <row r="50">
          <cell r="B50">
            <v>5204</v>
          </cell>
          <cell r="C50" t="str">
            <v>Closing Costs</v>
          </cell>
          <cell r="D50">
            <v>114</v>
          </cell>
          <cell r="E50">
            <v>3100</v>
          </cell>
          <cell r="F50">
            <v>100</v>
          </cell>
          <cell r="G50">
            <v>0</v>
          </cell>
          <cell r="H50">
            <v>0</v>
          </cell>
          <cell r="I50">
            <v>1507</v>
          </cell>
          <cell r="J50">
            <v>1500</v>
          </cell>
          <cell r="K50">
            <v>14</v>
          </cell>
          <cell r="L50">
            <v>0</v>
          </cell>
          <cell r="M50">
            <v>1500</v>
          </cell>
          <cell r="N50">
            <v>114</v>
          </cell>
          <cell r="O50">
            <v>3000</v>
          </cell>
          <cell r="T50">
            <v>9800.7999999999993</v>
          </cell>
        </row>
        <row r="51">
          <cell r="B51" t="str">
            <v>*400</v>
          </cell>
          <cell r="C51" t="str">
            <v>Confs, Mtgs, Prof'al Dev'mt</v>
          </cell>
          <cell r="D51">
            <v>2872.6333333333332</v>
          </cell>
          <cell r="E51">
            <v>1577.6333333333334</v>
          </cell>
          <cell r="F51">
            <v>2622.6333333333332</v>
          </cell>
          <cell r="G51">
            <v>1777.6333333333334</v>
          </cell>
          <cell r="H51">
            <v>2357.6333333333332</v>
          </cell>
          <cell r="I51">
            <v>1682.6333333333334</v>
          </cell>
          <cell r="J51">
            <v>1912.6333333333334</v>
          </cell>
          <cell r="K51">
            <v>3517.6333333333332</v>
          </cell>
          <cell r="L51">
            <v>19942.633333333331</v>
          </cell>
          <cell r="M51">
            <v>4812.6333333333332</v>
          </cell>
          <cell r="N51">
            <v>-407.36666666666662</v>
          </cell>
          <cell r="O51">
            <v>-4372.3666666666668</v>
          </cell>
          <cell r="T51">
            <v>15710.199999999999</v>
          </cell>
        </row>
        <row r="52">
          <cell r="B52">
            <v>5571</v>
          </cell>
          <cell r="C52" t="str">
            <v>Consignment Purchase</v>
          </cell>
          <cell r="D52">
            <v>2500</v>
          </cell>
          <cell r="E52">
            <v>2500</v>
          </cell>
          <cell r="F52">
            <v>2500</v>
          </cell>
          <cell r="G52">
            <v>2500</v>
          </cell>
          <cell r="H52">
            <v>2500</v>
          </cell>
          <cell r="I52">
            <v>2500</v>
          </cell>
          <cell r="J52">
            <v>2500</v>
          </cell>
          <cell r="K52">
            <v>2500</v>
          </cell>
          <cell r="L52">
            <v>2500</v>
          </cell>
          <cell r="M52">
            <v>2500</v>
          </cell>
          <cell r="N52">
            <v>2500</v>
          </cell>
          <cell r="O52">
            <v>2500</v>
          </cell>
          <cell r="T52">
            <v>19768.8</v>
          </cell>
        </row>
        <row r="53">
          <cell r="B53">
            <v>5118</v>
          </cell>
          <cell r="C53" t="str">
            <v>Const Supplies and Tools</v>
          </cell>
          <cell r="D53">
            <v>600</v>
          </cell>
          <cell r="E53">
            <v>1100</v>
          </cell>
          <cell r="F53">
            <v>3100</v>
          </cell>
          <cell r="G53">
            <v>600</v>
          </cell>
          <cell r="H53">
            <v>600</v>
          </cell>
          <cell r="I53">
            <v>600</v>
          </cell>
          <cell r="J53">
            <v>600</v>
          </cell>
          <cell r="K53">
            <v>600</v>
          </cell>
          <cell r="L53">
            <v>600</v>
          </cell>
          <cell r="M53">
            <v>600</v>
          </cell>
          <cell r="N53">
            <v>600</v>
          </cell>
          <cell r="O53">
            <v>600</v>
          </cell>
          <cell r="T53">
            <v>7483.74</v>
          </cell>
        </row>
        <row r="54">
          <cell r="B54">
            <v>5117</v>
          </cell>
          <cell r="C54" t="str">
            <v>Const. Equip Maint/Rentals</v>
          </cell>
          <cell r="D54">
            <v>0</v>
          </cell>
          <cell r="E54">
            <v>0</v>
          </cell>
          <cell r="F54">
            <v>0</v>
          </cell>
          <cell r="G54">
            <v>0</v>
          </cell>
          <cell r="H54">
            <v>0</v>
          </cell>
          <cell r="I54">
            <v>0</v>
          </cell>
          <cell r="J54">
            <v>0</v>
          </cell>
          <cell r="K54">
            <v>0</v>
          </cell>
          <cell r="L54">
            <v>0</v>
          </cell>
          <cell r="M54">
            <v>0</v>
          </cell>
          <cell r="N54">
            <v>0</v>
          </cell>
          <cell r="O54">
            <v>0</v>
          </cell>
          <cell r="T54">
            <v>391.65</v>
          </cell>
        </row>
        <row r="55">
          <cell r="B55">
            <v>5102</v>
          </cell>
          <cell r="C55" t="str">
            <v>Cost of Homes Sold (CIP)</v>
          </cell>
          <cell r="D55">
            <v>0</v>
          </cell>
          <cell r="E55">
            <v>0</v>
          </cell>
          <cell r="F55">
            <v>0</v>
          </cell>
          <cell r="G55">
            <v>0</v>
          </cell>
          <cell r="H55">
            <v>0</v>
          </cell>
          <cell r="I55">
            <v>0</v>
          </cell>
          <cell r="J55">
            <v>0</v>
          </cell>
          <cell r="K55">
            <v>0</v>
          </cell>
          <cell r="L55">
            <v>0</v>
          </cell>
          <cell r="M55">
            <v>0</v>
          </cell>
          <cell r="N55">
            <v>0</v>
          </cell>
          <cell r="O55">
            <v>1340568.7044166666</v>
          </cell>
        </row>
        <row r="56">
          <cell r="B56">
            <v>5570</v>
          </cell>
          <cell r="C56" t="str">
            <v>Cost of Purchased Mdse Sold</v>
          </cell>
          <cell r="D56">
            <v>6500</v>
          </cell>
          <cell r="E56">
            <v>6500</v>
          </cell>
          <cell r="F56">
            <v>6500</v>
          </cell>
          <cell r="G56">
            <v>6500</v>
          </cell>
          <cell r="H56">
            <v>6500</v>
          </cell>
          <cell r="I56">
            <v>6500</v>
          </cell>
          <cell r="J56">
            <v>6500</v>
          </cell>
          <cell r="K56">
            <v>6500</v>
          </cell>
          <cell r="L56">
            <v>6500</v>
          </cell>
          <cell r="M56">
            <v>8500</v>
          </cell>
          <cell r="N56">
            <v>8500</v>
          </cell>
          <cell r="O56">
            <v>8500</v>
          </cell>
        </row>
        <row r="57">
          <cell r="B57">
            <v>5123</v>
          </cell>
          <cell r="C57" t="str">
            <v>Cost of Repairs-Repair Prgm</v>
          </cell>
          <cell r="D57">
            <v>10000</v>
          </cell>
          <cell r="E57">
            <v>2500</v>
          </cell>
          <cell r="F57">
            <v>10000</v>
          </cell>
          <cell r="G57">
            <v>2500</v>
          </cell>
          <cell r="H57">
            <v>0</v>
          </cell>
          <cell r="I57">
            <v>0</v>
          </cell>
          <cell r="J57">
            <v>0</v>
          </cell>
          <cell r="K57">
            <v>0</v>
          </cell>
          <cell r="L57">
            <v>0</v>
          </cell>
          <cell r="M57">
            <v>0</v>
          </cell>
          <cell r="N57">
            <v>10000</v>
          </cell>
          <cell r="O57">
            <v>2500</v>
          </cell>
          <cell r="T57">
            <v>4162.92</v>
          </cell>
        </row>
        <row r="58">
          <cell r="B58">
            <v>5206</v>
          </cell>
          <cell r="C58" t="str">
            <v>Credit Checks</v>
          </cell>
          <cell r="D58">
            <v>52</v>
          </cell>
          <cell r="E58">
            <v>0</v>
          </cell>
          <cell r="F58">
            <v>0</v>
          </cell>
          <cell r="G58">
            <v>0</v>
          </cell>
          <cell r="H58">
            <v>26</v>
          </cell>
          <cell r="I58">
            <v>26</v>
          </cell>
          <cell r="J58">
            <v>825</v>
          </cell>
          <cell r="K58">
            <v>56</v>
          </cell>
          <cell r="L58">
            <v>26</v>
          </cell>
          <cell r="M58">
            <v>0</v>
          </cell>
          <cell r="N58">
            <v>56</v>
          </cell>
          <cell r="O58">
            <v>0</v>
          </cell>
          <cell r="T58">
            <v>1323.25</v>
          </cell>
        </row>
        <row r="59">
          <cell r="B59">
            <v>5210</v>
          </cell>
          <cell r="C59" t="str">
            <v>Dedications &amp; Groundbreakings</v>
          </cell>
          <cell r="D59">
            <v>0</v>
          </cell>
          <cell r="E59">
            <v>0</v>
          </cell>
          <cell r="F59">
            <v>600</v>
          </cell>
          <cell r="G59">
            <v>40</v>
          </cell>
          <cell r="H59">
            <v>40</v>
          </cell>
          <cell r="I59">
            <v>190</v>
          </cell>
          <cell r="J59">
            <v>540</v>
          </cell>
          <cell r="K59">
            <v>0</v>
          </cell>
          <cell r="L59">
            <v>100</v>
          </cell>
          <cell r="M59">
            <v>50</v>
          </cell>
          <cell r="N59">
            <v>0</v>
          </cell>
          <cell r="O59">
            <v>1000</v>
          </cell>
          <cell r="T59">
            <v>417.84</v>
          </cell>
        </row>
        <row r="60">
          <cell r="B60">
            <v>5426</v>
          </cell>
          <cell r="C60" t="str">
            <v>Depreciation - Building</v>
          </cell>
          <cell r="D60">
            <v>4327.1653504273499</v>
          </cell>
          <cell r="E60">
            <v>4327.1653504273499</v>
          </cell>
          <cell r="F60">
            <v>4327.1653504273499</v>
          </cell>
          <cell r="G60">
            <v>4327.1653504273499</v>
          </cell>
          <cell r="H60">
            <v>4327.1653504273499</v>
          </cell>
          <cell r="I60">
            <v>4327.1653504273499</v>
          </cell>
          <cell r="J60">
            <v>4327.1653504273499</v>
          </cell>
          <cell r="K60">
            <v>4327.1653504273499</v>
          </cell>
          <cell r="L60">
            <v>4327.1653504273499</v>
          </cell>
          <cell r="M60">
            <v>10577.165350427349</v>
          </cell>
          <cell r="N60">
            <v>10577.165350427349</v>
          </cell>
          <cell r="O60">
            <v>10577.165350427349</v>
          </cell>
        </row>
        <row r="61">
          <cell r="B61">
            <v>5424</v>
          </cell>
          <cell r="C61" t="str">
            <v>Depreciation - Building Equip</v>
          </cell>
          <cell r="D61">
            <v>29.616538461538461</v>
          </cell>
          <cell r="E61">
            <v>29.616538461538461</v>
          </cell>
          <cell r="F61">
            <v>29.616538461538461</v>
          </cell>
          <cell r="G61">
            <v>29.616538461538461</v>
          </cell>
          <cell r="H61">
            <v>29.616538461538461</v>
          </cell>
          <cell r="I61">
            <v>29.616538461538461</v>
          </cell>
          <cell r="J61">
            <v>29.616538461538461</v>
          </cell>
          <cell r="K61">
            <v>29.616538461538461</v>
          </cell>
          <cell r="L61">
            <v>29.616538461538461</v>
          </cell>
          <cell r="M61">
            <v>29.616538461538461</v>
          </cell>
          <cell r="N61">
            <v>29.616538461538461</v>
          </cell>
          <cell r="O61">
            <v>29.616538461538461</v>
          </cell>
        </row>
        <row r="62">
          <cell r="B62">
            <v>5425</v>
          </cell>
          <cell r="C62" t="str">
            <v>Depreciation - Construction Equ</v>
          </cell>
          <cell r="D62">
            <v>699.9666666666667</v>
          </cell>
          <cell r="E62">
            <v>699.9666666666667</v>
          </cell>
          <cell r="F62">
            <v>699.9666666666667</v>
          </cell>
          <cell r="G62">
            <v>699.9666666666667</v>
          </cell>
          <cell r="H62">
            <v>699.9666666666667</v>
          </cell>
          <cell r="I62">
            <v>699.9666666666667</v>
          </cell>
          <cell r="J62">
            <v>699.9666666666667</v>
          </cell>
          <cell r="K62">
            <v>699.9666666666667</v>
          </cell>
          <cell r="L62">
            <v>699.9666666666667</v>
          </cell>
          <cell r="M62">
            <v>699.9666666666667</v>
          </cell>
          <cell r="N62">
            <v>699.9666666666667</v>
          </cell>
          <cell r="O62">
            <v>699.9666666666667</v>
          </cell>
        </row>
        <row r="63">
          <cell r="B63">
            <v>5423</v>
          </cell>
          <cell r="C63" t="str">
            <v>Depreciation - Office Equip</v>
          </cell>
          <cell r="D63">
            <v>892.51380952380941</v>
          </cell>
          <cell r="E63">
            <v>892.51380952380941</v>
          </cell>
          <cell r="F63">
            <v>892.51380952380941</v>
          </cell>
          <cell r="G63">
            <v>892.51380952380941</v>
          </cell>
          <cell r="H63">
            <v>892.51380952380941</v>
          </cell>
          <cell r="I63">
            <v>892.51380952380941</v>
          </cell>
          <cell r="J63">
            <v>892.51380952380941</v>
          </cell>
          <cell r="K63">
            <v>892.51380952380941</v>
          </cell>
          <cell r="L63">
            <v>892.51380952380941</v>
          </cell>
          <cell r="M63">
            <v>892.51380952380941</v>
          </cell>
          <cell r="N63">
            <v>892.51380952380941</v>
          </cell>
          <cell r="O63">
            <v>892.51380952380941</v>
          </cell>
        </row>
        <row r="64">
          <cell r="B64">
            <v>5427</v>
          </cell>
          <cell r="C64" t="str">
            <v>Depreciation - Sign</v>
          </cell>
          <cell r="D64">
            <v>0</v>
          </cell>
          <cell r="E64">
            <v>0</v>
          </cell>
          <cell r="F64">
            <v>0</v>
          </cell>
          <cell r="G64">
            <v>0</v>
          </cell>
          <cell r="H64">
            <v>0</v>
          </cell>
          <cell r="I64">
            <v>0</v>
          </cell>
          <cell r="J64">
            <v>0</v>
          </cell>
          <cell r="K64">
            <v>0</v>
          </cell>
          <cell r="L64">
            <v>0</v>
          </cell>
          <cell r="M64">
            <v>0</v>
          </cell>
          <cell r="N64">
            <v>0</v>
          </cell>
          <cell r="O64">
            <v>0</v>
          </cell>
        </row>
        <row r="65">
          <cell r="B65">
            <v>5422</v>
          </cell>
          <cell r="C65" t="str">
            <v>Depreciation - Vehicle</v>
          </cell>
          <cell r="D65">
            <v>858.33333333333337</v>
          </cell>
          <cell r="E65">
            <v>858.33333333333337</v>
          </cell>
          <cell r="F65">
            <v>858.33333333333337</v>
          </cell>
          <cell r="G65">
            <v>858.33333333333337</v>
          </cell>
          <cell r="H65">
            <v>858.33333333333337</v>
          </cell>
          <cell r="I65">
            <v>858.33333333333337</v>
          </cell>
          <cell r="J65">
            <v>858.33333333333337</v>
          </cell>
          <cell r="K65">
            <v>858.33333333333337</v>
          </cell>
          <cell r="L65">
            <v>858.33333333333337</v>
          </cell>
          <cell r="M65">
            <v>858.33333333333337</v>
          </cell>
          <cell r="N65">
            <v>858.33333333333337</v>
          </cell>
          <cell r="O65">
            <v>858.33333333333337</v>
          </cell>
        </row>
        <row r="66">
          <cell r="B66">
            <v>5428</v>
          </cell>
          <cell r="C66" t="str">
            <v>Depreciation-Software</v>
          </cell>
          <cell r="D66">
            <v>50</v>
          </cell>
          <cell r="E66">
            <v>50</v>
          </cell>
          <cell r="F66">
            <v>50</v>
          </cell>
          <cell r="G66">
            <v>50</v>
          </cell>
          <cell r="H66">
            <v>50</v>
          </cell>
          <cell r="I66">
            <v>50</v>
          </cell>
          <cell r="J66">
            <v>50</v>
          </cell>
          <cell r="K66">
            <v>50</v>
          </cell>
          <cell r="L66">
            <v>50</v>
          </cell>
          <cell r="M66">
            <v>50</v>
          </cell>
          <cell r="N66">
            <v>50</v>
          </cell>
          <cell r="O66">
            <v>50</v>
          </cell>
        </row>
        <row r="67">
          <cell r="B67" t="str">
            <v>*315/325</v>
          </cell>
          <cell r="C67" t="str">
            <v>Dues &amp; Subscriptions</v>
          </cell>
          <cell r="D67">
            <v>4443.958333333333</v>
          </cell>
          <cell r="E67">
            <v>3463.958333333333</v>
          </cell>
          <cell r="F67">
            <v>3483.958333333333</v>
          </cell>
          <cell r="G67">
            <v>4583.958333333333</v>
          </cell>
          <cell r="H67">
            <v>3583.958333333333</v>
          </cell>
          <cell r="I67">
            <v>3583.958333333333</v>
          </cell>
          <cell r="J67">
            <v>3733.958333333333</v>
          </cell>
          <cell r="K67">
            <v>3483.958333333333</v>
          </cell>
          <cell r="L67">
            <v>3738.958333333333</v>
          </cell>
          <cell r="M67">
            <v>3673.958333333333</v>
          </cell>
          <cell r="N67">
            <v>3673.958333333333</v>
          </cell>
          <cell r="O67">
            <v>-9326.0416666666661</v>
          </cell>
          <cell r="T67">
            <v>22678.870000000003</v>
          </cell>
        </row>
        <row r="68">
          <cell r="B68">
            <v>6560</v>
          </cell>
          <cell r="C68" t="str">
            <v>Employer Payroll Taxes</v>
          </cell>
          <cell r="D68">
            <v>10691.299789624998</v>
          </cell>
          <cell r="E68">
            <v>10691.299789624998</v>
          </cell>
          <cell r="F68">
            <v>10691.299789624998</v>
          </cell>
          <cell r="G68">
            <v>10691.299789624998</v>
          </cell>
          <cell r="H68">
            <v>10691.299789624998</v>
          </cell>
          <cell r="I68">
            <v>10691.299789624998</v>
          </cell>
          <cell r="J68">
            <v>11048.694789624999</v>
          </cell>
          <cell r="K68">
            <v>11048.694789624999</v>
          </cell>
          <cell r="L68">
            <v>11048.694789624999</v>
          </cell>
          <cell r="M68">
            <v>11864.009789624999</v>
          </cell>
          <cell r="N68">
            <v>11864.009789624999</v>
          </cell>
          <cell r="O68">
            <v>11864.009789624999</v>
          </cell>
          <cell r="T68">
            <v>100251.58</v>
          </cell>
        </row>
        <row r="69">
          <cell r="B69" t="str">
            <v>*270</v>
          </cell>
          <cell r="C69" t="str">
            <v>Employer SIMPLE-IRA / 401KMatch</v>
          </cell>
          <cell r="D69">
            <v>2326.2197066666668</v>
          </cell>
          <cell r="E69">
            <v>3326.2197066666668</v>
          </cell>
          <cell r="F69">
            <v>2326.2197066666668</v>
          </cell>
          <cell r="G69">
            <v>2326.2197066666668</v>
          </cell>
          <cell r="H69">
            <v>2326.2197066666668</v>
          </cell>
          <cell r="I69">
            <v>2326.2197066666668</v>
          </cell>
          <cell r="J69">
            <v>2326.2197066666668</v>
          </cell>
          <cell r="K69">
            <v>2326.2197066666668</v>
          </cell>
          <cell r="L69">
            <v>2326.2197066666668</v>
          </cell>
          <cell r="M69">
            <v>2326.2197066666668</v>
          </cell>
          <cell r="N69">
            <v>2326.2197066666668</v>
          </cell>
          <cell r="O69">
            <v>2326.2197066666668</v>
          </cell>
          <cell r="T69">
            <v>13884.59</v>
          </cell>
        </row>
        <row r="70">
          <cell r="B70">
            <v>8300</v>
          </cell>
          <cell r="C70" t="str">
            <v>Fundraising Expense</v>
          </cell>
          <cell r="D70">
            <v>2799</v>
          </cell>
          <cell r="E70">
            <v>1250</v>
          </cell>
          <cell r="F70">
            <v>1250</v>
          </cell>
          <cell r="G70">
            <v>2250</v>
          </cell>
          <cell r="H70">
            <v>2550</v>
          </cell>
          <cell r="I70">
            <v>1910</v>
          </cell>
          <cell r="J70">
            <v>1650</v>
          </cell>
          <cell r="K70">
            <v>2250</v>
          </cell>
          <cell r="L70">
            <v>1400</v>
          </cell>
          <cell r="M70">
            <v>2250</v>
          </cell>
          <cell r="N70">
            <v>1080</v>
          </cell>
          <cell r="O70">
            <v>2150</v>
          </cell>
          <cell r="T70">
            <v>5044.9799999999996</v>
          </cell>
        </row>
        <row r="71">
          <cell r="B71">
            <v>5211</v>
          </cell>
          <cell r="C71" t="str">
            <v>Homeowner Classes</v>
          </cell>
          <cell r="D71">
            <v>175</v>
          </cell>
          <cell r="E71">
            <v>175</v>
          </cell>
          <cell r="F71">
            <v>175</v>
          </cell>
          <cell r="G71">
            <v>175</v>
          </cell>
          <cell r="H71">
            <v>175</v>
          </cell>
          <cell r="I71">
            <v>175</v>
          </cell>
          <cell r="J71">
            <v>175</v>
          </cell>
          <cell r="K71">
            <v>25</v>
          </cell>
          <cell r="L71">
            <v>25</v>
          </cell>
          <cell r="M71">
            <v>25</v>
          </cell>
          <cell r="N71">
            <v>25</v>
          </cell>
          <cell r="O71">
            <v>25</v>
          </cell>
          <cell r="T71">
            <v>806.85</v>
          </cell>
        </row>
        <row r="72">
          <cell r="B72">
            <v>5410</v>
          </cell>
          <cell r="C72" t="str">
            <v>Interest</v>
          </cell>
          <cell r="D72">
            <v>2590.4</v>
          </cell>
          <cell r="E72">
            <v>2657.8</v>
          </cell>
          <cell r="F72">
            <v>2639.11</v>
          </cell>
          <cell r="G72">
            <v>2535.83</v>
          </cell>
          <cell r="H72">
            <v>2601.1999999999998</v>
          </cell>
          <cell r="I72">
            <v>2498.9899999999998</v>
          </cell>
          <cell r="J72">
            <v>2562.9899999999998</v>
          </cell>
          <cell r="K72">
            <v>2543.94</v>
          </cell>
          <cell r="L72">
            <v>2280.48</v>
          </cell>
          <cell r="M72">
            <v>14504.67</v>
          </cell>
          <cell r="N72">
            <v>14405.22</v>
          </cell>
          <cell r="O72">
            <v>14465.73</v>
          </cell>
          <cell r="T72">
            <v>24965.29</v>
          </cell>
        </row>
        <row r="73">
          <cell r="B73">
            <v>5220</v>
          </cell>
          <cell r="C73" t="str">
            <v>International Tithe Expense</v>
          </cell>
          <cell r="D73">
            <v>21250</v>
          </cell>
          <cell r="E73">
            <v>0</v>
          </cell>
          <cell r="F73">
            <v>0</v>
          </cell>
          <cell r="G73">
            <v>21250</v>
          </cell>
          <cell r="H73">
            <v>0</v>
          </cell>
          <cell r="I73">
            <v>0</v>
          </cell>
          <cell r="J73">
            <v>21250</v>
          </cell>
          <cell r="K73">
            <v>0</v>
          </cell>
          <cell r="L73">
            <v>0</v>
          </cell>
          <cell r="M73">
            <v>21250</v>
          </cell>
          <cell r="N73">
            <v>0</v>
          </cell>
          <cell r="O73">
            <v>0</v>
          </cell>
          <cell r="T73">
            <v>72007.7</v>
          </cell>
        </row>
        <row r="74">
          <cell r="B74" t="str">
            <v>*388</v>
          </cell>
          <cell r="C74" t="str">
            <v>IT</v>
          </cell>
          <cell r="D74">
            <v>3417.3333333333335</v>
          </cell>
          <cell r="E74">
            <v>4767.3333333333339</v>
          </cell>
          <cell r="F74">
            <v>3192.3333333333335</v>
          </cell>
          <cell r="G74">
            <v>2967.3333333333335</v>
          </cell>
          <cell r="H74">
            <v>2967.3333333333335</v>
          </cell>
          <cell r="I74">
            <v>2967.3333333333335</v>
          </cell>
          <cell r="J74">
            <v>2967.3333333333335</v>
          </cell>
          <cell r="K74">
            <v>2967.3333333333335</v>
          </cell>
          <cell r="L74">
            <v>2967.3333333333335</v>
          </cell>
          <cell r="M74">
            <v>12967.333333333334</v>
          </cell>
          <cell r="N74">
            <v>2967.3333333333335</v>
          </cell>
          <cell r="O74">
            <v>2967.3333333333335</v>
          </cell>
          <cell r="T74">
            <v>31384.18</v>
          </cell>
        </row>
        <row r="75">
          <cell r="B75" t="str">
            <v>*368</v>
          </cell>
          <cell r="C75" t="str">
            <v>Janitorial</v>
          </cell>
          <cell r="D75">
            <v>1236.0833333333335</v>
          </cell>
          <cell r="E75">
            <v>1236.0833333333335</v>
          </cell>
          <cell r="F75">
            <v>1236.0833333333335</v>
          </cell>
          <cell r="G75">
            <v>1236.0833333333335</v>
          </cell>
          <cell r="H75">
            <v>1236.0833333333335</v>
          </cell>
          <cell r="I75">
            <v>1236.0833333333335</v>
          </cell>
          <cell r="J75">
            <v>1236.0833333333335</v>
          </cell>
          <cell r="K75">
            <v>1236.0833333333335</v>
          </cell>
          <cell r="L75">
            <v>1736.0833333333335</v>
          </cell>
          <cell r="M75">
            <v>1736.0833333333335</v>
          </cell>
          <cell r="N75">
            <v>1736.0833333333335</v>
          </cell>
          <cell r="O75">
            <v>1736.0833333333335</v>
          </cell>
          <cell r="T75">
            <v>13438.300000000001</v>
          </cell>
        </row>
        <row r="76">
          <cell r="B76" t="str">
            <v>*320</v>
          </cell>
          <cell r="C76" t="str">
            <v>Legal Fees</v>
          </cell>
          <cell r="D76">
            <v>163</v>
          </cell>
          <cell r="E76">
            <v>167</v>
          </cell>
          <cell r="F76">
            <v>167</v>
          </cell>
          <cell r="G76">
            <v>167</v>
          </cell>
          <cell r="H76">
            <v>167</v>
          </cell>
          <cell r="I76">
            <v>167</v>
          </cell>
          <cell r="J76">
            <v>167</v>
          </cell>
          <cell r="K76">
            <v>167</v>
          </cell>
          <cell r="L76">
            <v>167</v>
          </cell>
          <cell r="M76">
            <v>167</v>
          </cell>
          <cell r="N76">
            <v>3167</v>
          </cell>
          <cell r="O76">
            <v>1167</v>
          </cell>
          <cell r="T76">
            <v>12807.5</v>
          </cell>
        </row>
        <row r="77">
          <cell r="B77" t="str">
            <v>*104</v>
          </cell>
          <cell r="C77" t="str">
            <v>Liability/ E&amp;O Insurance</v>
          </cell>
          <cell r="D77">
            <v>2613.0833333333335</v>
          </cell>
          <cell r="E77">
            <v>2613.0833333333335</v>
          </cell>
          <cell r="F77">
            <v>2613.0833333333335</v>
          </cell>
          <cell r="G77">
            <v>2613.0833333333335</v>
          </cell>
          <cell r="H77">
            <v>2613.0833333333335</v>
          </cell>
          <cell r="I77">
            <v>2613.0833333333335</v>
          </cell>
          <cell r="J77">
            <v>2613.0833333333335</v>
          </cell>
          <cell r="K77">
            <v>2613.0833333333335</v>
          </cell>
          <cell r="L77">
            <v>6913.0833333333339</v>
          </cell>
          <cell r="M77">
            <v>3413.0833333333339</v>
          </cell>
          <cell r="N77">
            <v>3413.0833333333339</v>
          </cell>
          <cell r="O77">
            <v>3413.0833333333339</v>
          </cell>
          <cell r="T77">
            <v>26963.989999999998</v>
          </cell>
        </row>
        <row r="78">
          <cell r="B78" t="str">
            <v>5204-1</v>
          </cell>
          <cell r="C78" t="str">
            <v>Loan Sale(s) Fee</v>
          </cell>
          <cell r="D78">
            <v>0</v>
          </cell>
          <cell r="E78">
            <v>0</v>
          </cell>
          <cell r="F78">
            <v>0</v>
          </cell>
          <cell r="G78">
            <v>0</v>
          </cell>
          <cell r="H78">
            <v>0</v>
          </cell>
          <cell r="I78">
            <v>11000</v>
          </cell>
          <cell r="J78">
            <v>0</v>
          </cell>
          <cell r="K78">
            <v>0</v>
          </cell>
          <cell r="L78">
            <v>0</v>
          </cell>
          <cell r="M78">
            <v>0</v>
          </cell>
          <cell r="N78">
            <v>0</v>
          </cell>
          <cell r="O78">
            <v>0</v>
          </cell>
        </row>
        <row r="79">
          <cell r="B79">
            <v>5214</v>
          </cell>
          <cell r="C79" t="str">
            <v>Loan Servicing</v>
          </cell>
          <cell r="D79">
            <v>850</v>
          </cell>
          <cell r="E79">
            <v>0</v>
          </cell>
          <cell r="F79">
            <v>0</v>
          </cell>
          <cell r="G79">
            <v>0</v>
          </cell>
          <cell r="H79">
            <v>0</v>
          </cell>
          <cell r="I79">
            <v>0</v>
          </cell>
          <cell r="J79">
            <v>1500</v>
          </cell>
          <cell r="K79">
            <v>1500</v>
          </cell>
          <cell r="L79">
            <v>1500</v>
          </cell>
          <cell r="M79">
            <v>1500</v>
          </cell>
          <cell r="N79">
            <v>1500</v>
          </cell>
          <cell r="O79">
            <v>1500</v>
          </cell>
          <cell r="T79">
            <v>9278.94</v>
          </cell>
        </row>
        <row r="80">
          <cell r="B80" t="str">
            <v>*376</v>
          </cell>
          <cell r="C80" t="str">
            <v>Maintenance (copier)</v>
          </cell>
          <cell r="D80">
            <v>187</v>
          </cell>
          <cell r="E80">
            <v>187</v>
          </cell>
          <cell r="F80">
            <v>187</v>
          </cell>
          <cell r="G80">
            <v>187</v>
          </cell>
          <cell r="H80">
            <v>187</v>
          </cell>
          <cell r="I80">
            <v>187</v>
          </cell>
          <cell r="J80">
            <v>187</v>
          </cell>
          <cell r="K80">
            <v>187</v>
          </cell>
          <cell r="L80">
            <v>187</v>
          </cell>
          <cell r="M80">
            <v>187</v>
          </cell>
          <cell r="N80">
            <v>187</v>
          </cell>
          <cell r="O80">
            <v>187</v>
          </cell>
          <cell r="T80">
            <v>1576.04</v>
          </cell>
        </row>
        <row r="81">
          <cell r="B81" t="str">
            <v>*452</v>
          </cell>
          <cell r="C81" t="str">
            <v>Mileage &amp; Parking Expense</v>
          </cell>
          <cell r="D81">
            <v>1143.0033333333333</v>
          </cell>
          <cell r="E81">
            <v>1163.0033333333333</v>
          </cell>
          <cell r="F81">
            <v>1143.0033333333333</v>
          </cell>
          <cell r="G81">
            <v>1143.0033333333333</v>
          </cell>
          <cell r="H81">
            <v>1233.0033333333333</v>
          </cell>
          <cell r="I81">
            <v>1213.0033333333333</v>
          </cell>
          <cell r="J81">
            <v>1192.0033333333333</v>
          </cell>
          <cell r="K81">
            <v>1302.0033333333333</v>
          </cell>
          <cell r="L81">
            <v>1172.0033333333333</v>
          </cell>
          <cell r="M81">
            <v>1202.0033333333333</v>
          </cell>
          <cell r="N81">
            <v>1172.0033333333333</v>
          </cell>
          <cell r="O81">
            <v>902.00333333333333</v>
          </cell>
          <cell r="T81">
            <v>9009.68</v>
          </cell>
        </row>
        <row r="82">
          <cell r="B82">
            <v>5203</v>
          </cell>
          <cell r="C82" t="str">
            <v>Mortgage Discount Expense</v>
          </cell>
          <cell r="D82">
            <v>168000</v>
          </cell>
          <cell r="E82">
            <v>0</v>
          </cell>
          <cell r="F82">
            <v>0</v>
          </cell>
          <cell r="G82">
            <v>0</v>
          </cell>
          <cell r="H82">
            <v>0</v>
          </cell>
          <cell r="I82">
            <v>84000</v>
          </cell>
          <cell r="J82">
            <v>84000</v>
          </cell>
          <cell r="K82">
            <v>0</v>
          </cell>
          <cell r="L82">
            <v>168000</v>
          </cell>
          <cell r="M82">
            <v>168000</v>
          </cell>
          <cell r="N82">
            <v>-252000</v>
          </cell>
          <cell r="O82">
            <v>168000</v>
          </cell>
        </row>
        <row r="83">
          <cell r="B83" t="str">
            <v>*362</v>
          </cell>
          <cell r="C83" t="str">
            <v>Office Rent</v>
          </cell>
          <cell r="D83">
            <v>2200</v>
          </cell>
          <cell r="E83">
            <v>2200</v>
          </cell>
          <cell r="F83">
            <v>2200</v>
          </cell>
          <cell r="G83">
            <v>2200</v>
          </cell>
          <cell r="H83">
            <v>2200</v>
          </cell>
          <cell r="I83">
            <v>2200</v>
          </cell>
          <cell r="J83">
            <v>2200</v>
          </cell>
          <cell r="K83">
            <v>2200</v>
          </cell>
          <cell r="L83">
            <v>2200</v>
          </cell>
          <cell r="M83">
            <v>2200</v>
          </cell>
          <cell r="N83">
            <v>2200</v>
          </cell>
          <cell r="O83">
            <v>2200</v>
          </cell>
          <cell r="T83">
            <v>19000</v>
          </cell>
        </row>
        <row r="84">
          <cell r="B84" t="str">
            <v>*332</v>
          </cell>
          <cell r="C84" t="str">
            <v>Office Supplies</v>
          </cell>
          <cell r="D84">
            <v>781.66666666666652</v>
          </cell>
          <cell r="E84">
            <v>681.66666666666652</v>
          </cell>
          <cell r="F84">
            <v>836.16666666666652</v>
          </cell>
          <cell r="G84">
            <v>681.66666666666652</v>
          </cell>
          <cell r="H84">
            <v>631.66666666666652</v>
          </cell>
          <cell r="I84">
            <v>706.66666666666652</v>
          </cell>
          <cell r="J84">
            <v>631.66666666666652</v>
          </cell>
          <cell r="K84">
            <v>711.16666666666652</v>
          </cell>
          <cell r="L84">
            <v>856.66666666666652</v>
          </cell>
          <cell r="M84">
            <v>781.66666666666652</v>
          </cell>
          <cell r="N84">
            <v>831.66666666666652</v>
          </cell>
          <cell r="O84">
            <v>986.16666666666652</v>
          </cell>
          <cell r="T84">
            <v>8229.39</v>
          </cell>
        </row>
        <row r="85">
          <cell r="B85" t="str">
            <v>5375-1</v>
          </cell>
          <cell r="C85" t="str">
            <v>Office Trailer -Expense/Repairs</v>
          </cell>
          <cell r="D85">
            <v>0</v>
          </cell>
          <cell r="E85">
            <v>0</v>
          </cell>
          <cell r="F85">
            <v>0</v>
          </cell>
          <cell r="G85">
            <v>250</v>
          </cell>
          <cell r="H85">
            <v>250</v>
          </cell>
          <cell r="I85">
            <v>250</v>
          </cell>
          <cell r="J85">
            <v>250</v>
          </cell>
          <cell r="K85">
            <v>250</v>
          </cell>
          <cell r="L85">
            <v>250</v>
          </cell>
          <cell r="M85">
            <v>250</v>
          </cell>
          <cell r="N85">
            <v>250</v>
          </cell>
          <cell r="O85">
            <v>250</v>
          </cell>
          <cell r="T85">
            <v>1131.32</v>
          </cell>
        </row>
        <row r="86">
          <cell r="B86">
            <v>5106</v>
          </cell>
          <cell r="C86" t="str">
            <v>Operating Supplies and Tools</v>
          </cell>
          <cell r="D86">
            <v>500</v>
          </cell>
          <cell r="E86">
            <v>500</v>
          </cell>
          <cell r="F86">
            <v>500</v>
          </cell>
          <cell r="G86">
            <v>500</v>
          </cell>
          <cell r="H86">
            <v>500</v>
          </cell>
          <cell r="I86">
            <v>500</v>
          </cell>
          <cell r="J86">
            <v>500</v>
          </cell>
          <cell r="K86">
            <v>500</v>
          </cell>
          <cell r="L86">
            <v>700</v>
          </cell>
          <cell r="M86">
            <v>700</v>
          </cell>
          <cell r="N86">
            <v>700</v>
          </cell>
          <cell r="O86">
            <v>700</v>
          </cell>
          <cell r="T86">
            <v>5375.88</v>
          </cell>
        </row>
        <row r="87">
          <cell r="B87" t="str">
            <v>*280</v>
          </cell>
          <cell r="C87" t="str">
            <v>Other Employee Benefits</v>
          </cell>
          <cell r="D87">
            <v>13921.039999999999</v>
          </cell>
          <cell r="E87">
            <v>13921.039999999999</v>
          </cell>
          <cell r="F87">
            <v>13921.039999999999</v>
          </cell>
          <cell r="G87">
            <v>13921.039999999999</v>
          </cell>
          <cell r="H87">
            <v>13921.039999999999</v>
          </cell>
          <cell r="I87">
            <v>13921.039999999999</v>
          </cell>
          <cell r="J87">
            <v>14552.217279999999</v>
          </cell>
          <cell r="K87">
            <v>14552.217279999999</v>
          </cell>
          <cell r="L87">
            <v>14552.217279999999</v>
          </cell>
          <cell r="M87">
            <v>16445.751839999997</v>
          </cell>
          <cell r="N87">
            <v>16445.751839999997</v>
          </cell>
          <cell r="O87">
            <v>16445.751839999997</v>
          </cell>
          <cell r="T87">
            <v>121962.59000000001</v>
          </cell>
        </row>
        <row r="88">
          <cell r="B88" t="str">
            <v>*335</v>
          </cell>
          <cell r="C88" t="str">
            <v>Payroll processing  fee</v>
          </cell>
          <cell r="D88">
            <v>525</v>
          </cell>
          <cell r="E88">
            <v>525</v>
          </cell>
          <cell r="F88">
            <v>525</v>
          </cell>
          <cell r="G88">
            <v>525</v>
          </cell>
          <cell r="H88">
            <v>525</v>
          </cell>
          <cell r="I88">
            <v>525</v>
          </cell>
          <cell r="J88">
            <v>525</v>
          </cell>
          <cell r="K88">
            <v>525</v>
          </cell>
          <cell r="L88">
            <v>525</v>
          </cell>
          <cell r="M88">
            <v>525</v>
          </cell>
          <cell r="N88">
            <v>525</v>
          </cell>
          <cell r="O88">
            <v>525</v>
          </cell>
          <cell r="T88">
            <v>4733.68</v>
          </cell>
        </row>
        <row r="89">
          <cell r="B89">
            <v>5110</v>
          </cell>
          <cell r="C89" t="str">
            <v>Plan Development</v>
          </cell>
          <cell r="D89">
            <v>25</v>
          </cell>
          <cell r="E89">
            <v>0</v>
          </cell>
          <cell r="F89">
            <v>0</v>
          </cell>
          <cell r="G89">
            <v>25</v>
          </cell>
          <cell r="H89">
            <v>0</v>
          </cell>
          <cell r="I89">
            <v>0</v>
          </cell>
          <cell r="J89">
            <v>25</v>
          </cell>
          <cell r="K89">
            <v>0</v>
          </cell>
          <cell r="L89">
            <v>0</v>
          </cell>
          <cell r="M89">
            <v>25</v>
          </cell>
          <cell r="N89">
            <v>0</v>
          </cell>
          <cell r="O89">
            <v>0</v>
          </cell>
          <cell r="T89">
            <v>13267.25</v>
          </cell>
        </row>
        <row r="90">
          <cell r="B90" t="str">
            <v>*350</v>
          </cell>
          <cell r="C90" t="str">
            <v>Postage and Shipping</v>
          </cell>
          <cell r="D90">
            <v>441.66666666666669</v>
          </cell>
          <cell r="E90">
            <v>476.66666666666669</v>
          </cell>
          <cell r="F90">
            <v>401.66666666666669</v>
          </cell>
          <cell r="G90">
            <v>491.66666666666669</v>
          </cell>
          <cell r="H90">
            <v>476.66666666666669</v>
          </cell>
          <cell r="I90">
            <v>523.66666666666674</v>
          </cell>
          <cell r="J90">
            <v>471.66666666666669</v>
          </cell>
          <cell r="K90">
            <v>806.66666666666674</v>
          </cell>
          <cell r="L90">
            <v>431.66666666666669</v>
          </cell>
          <cell r="M90">
            <v>441.66666666666669</v>
          </cell>
          <cell r="N90">
            <v>591.66666666666674</v>
          </cell>
          <cell r="O90">
            <v>493.66666666666669</v>
          </cell>
          <cell r="T90">
            <v>2809.7799999999997</v>
          </cell>
        </row>
        <row r="91">
          <cell r="B91" t="str">
            <v>*380</v>
          </cell>
          <cell r="C91" t="str">
            <v>Printing and Publications</v>
          </cell>
          <cell r="D91">
            <v>4793.333333333333</v>
          </cell>
          <cell r="E91">
            <v>478.33333333333337</v>
          </cell>
          <cell r="F91">
            <v>1133.3333333333335</v>
          </cell>
          <cell r="G91">
            <v>3543.3333333333335</v>
          </cell>
          <cell r="H91">
            <v>648.33333333333337</v>
          </cell>
          <cell r="I91">
            <v>2850.8333333333335</v>
          </cell>
          <cell r="J91">
            <v>1488.3333333333335</v>
          </cell>
          <cell r="K91">
            <v>3303.3333333333335</v>
          </cell>
          <cell r="L91">
            <v>710.83333333333337</v>
          </cell>
          <cell r="M91">
            <v>3083.3333333333335</v>
          </cell>
          <cell r="N91">
            <v>3238.3333333333335</v>
          </cell>
          <cell r="O91">
            <v>638.33333333333337</v>
          </cell>
          <cell r="T91">
            <v>12812.64</v>
          </cell>
        </row>
        <row r="92">
          <cell r="B92">
            <v>5209</v>
          </cell>
          <cell r="C92" t="str">
            <v>Professional Licenses/Certs</v>
          </cell>
          <cell r="D92">
            <v>0</v>
          </cell>
          <cell r="E92">
            <v>0</v>
          </cell>
          <cell r="F92">
            <v>150</v>
          </cell>
          <cell r="G92">
            <v>147</v>
          </cell>
          <cell r="H92">
            <v>0</v>
          </cell>
          <cell r="I92">
            <v>110</v>
          </cell>
          <cell r="J92">
            <v>200</v>
          </cell>
          <cell r="K92">
            <v>0</v>
          </cell>
          <cell r="L92">
            <v>0</v>
          </cell>
          <cell r="M92">
            <v>0</v>
          </cell>
          <cell r="N92">
            <v>55</v>
          </cell>
          <cell r="O92">
            <v>0</v>
          </cell>
          <cell r="T92">
            <v>817.75</v>
          </cell>
        </row>
        <row r="93">
          <cell r="B93">
            <v>8440</v>
          </cell>
          <cell r="C93" t="str">
            <v>Promotional Expense</v>
          </cell>
          <cell r="D93">
            <v>399</v>
          </cell>
          <cell r="E93">
            <v>199</v>
          </cell>
          <cell r="F93">
            <v>1079</v>
          </cell>
          <cell r="G93">
            <v>199</v>
          </cell>
          <cell r="H93">
            <v>299</v>
          </cell>
          <cell r="I93">
            <v>3299</v>
          </cell>
          <cell r="J93">
            <v>199</v>
          </cell>
          <cell r="K93">
            <v>849</v>
          </cell>
          <cell r="L93">
            <v>499</v>
          </cell>
          <cell r="M93">
            <v>1499</v>
          </cell>
          <cell r="N93">
            <v>2249</v>
          </cell>
          <cell r="O93">
            <v>1099</v>
          </cell>
          <cell r="T93">
            <v>6217.43</v>
          </cell>
        </row>
        <row r="94">
          <cell r="B94">
            <v>5202</v>
          </cell>
          <cell r="C94" t="str">
            <v>Property Tax</v>
          </cell>
          <cell r="D94">
            <v>0</v>
          </cell>
          <cell r="E94">
            <v>0</v>
          </cell>
          <cell r="F94">
            <v>0</v>
          </cell>
          <cell r="G94">
            <v>0</v>
          </cell>
          <cell r="H94">
            <v>0</v>
          </cell>
          <cell r="I94">
            <v>0</v>
          </cell>
          <cell r="J94">
            <v>0</v>
          </cell>
          <cell r="K94">
            <v>0</v>
          </cell>
          <cell r="L94">
            <v>0</v>
          </cell>
          <cell r="M94">
            <v>575</v>
          </cell>
          <cell r="N94">
            <v>0</v>
          </cell>
          <cell r="O94">
            <v>0</v>
          </cell>
          <cell r="T94">
            <v>75</v>
          </cell>
        </row>
        <row r="95">
          <cell r="B95">
            <v>5291</v>
          </cell>
          <cell r="C95" t="str">
            <v>Recruitment</v>
          </cell>
          <cell r="D95">
            <v>12.5</v>
          </cell>
          <cell r="E95">
            <v>12.5</v>
          </cell>
          <cell r="F95">
            <v>12.5</v>
          </cell>
          <cell r="G95">
            <v>12.5</v>
          </cell>
          <cell r="H95">
            <v>12.5</v>
          </cell>
          <cell r="I95">
            <v>12.5</v>
          </cell>
          <cell r="J95">
            <v>12.5</v>
          </cell>
          <cell r="K95">
            <v>12.5</v>
          </cell>
          <cell r="L95">
            <v>12.5</v>
          </cell>
          <cell r="M95">
            <v>12.5</v>
          </cell>
          <cell r="N95">
            <v>12.5</v>
          </cell>
          <cell r="O95">
            <v>12.5</v>
          </cell>
          <cell r="T95">
            <v>103</v>
          </cell>
        </row>
        <row r="96">
          <cell r="B96">
            <v>5367</v>
          </cell>
          <cell r="C96" t="str">
            <v>Security</v>
          </cell>
          <cell r="D96">
            <v>1202.8499999999999</v>
          </cell>
          <cell r="E96">
            <v>1202.8499999999999</v>
          </cell>
          <cell r="F96">
            <v>1202.8499999999999</v>
          </cell>
          <cell r="G96">
            <v>1202.8499999999999</v>
          </cell>
          <cell r="H96">
            <v>1202.8499999999999</v>
          </cell>
          <cell r="I96">
            <v>1202.8499999999999</v>
          </cell>
          <cell r="J96">
            <v>1202.8499999999999</v>
          </cell>
          <cell r="K96">
            <v>1202.8499999999999</v>
          </cell>
          <cell r="L96">
            <v>1532.85</v>
          </cell>
          <cell r="M96">
            <v>1532.85</v>
          </cell>
          <cell r="N96">
            <v>1532.85</v>
          </cell>
          <cell r="O96">
            <v>1532.85</v>
          </cell>
          <cell r="T96">
            <v>11769.36</v>
          </cell>
        </row>
        <row r="97">
          <cell r="B97" t="str">
            <v>*355</v>
          </cell>
          <cell r="C97" t="str">
            <v>Staff Appreciation</v>
          </cell>
          <cell r="D97">
            <v>688.33333333333337</v>
          </cell>
          <cell r="E97">
            <v>673.33333333333337</v>
          </cell>
          <cell r="F97">
            <v>673.33333333333337</v>
          </cell>
          <cell r="G97">
            <v>673.33333333333337</v>
          </cell>
          <cell r="H97">
            <v>688.33333333333337</v>
          </cell>
          <cell r="I97">
            <v>673.33333333333337</v>
          </cell>
          <cell r="J97">
            <v>673.33333333333337</v>
          </cell>
          <cell r="K97">
            <v>673.33333333333337</v>
          </cell>
          <cell r="L97">
            <v>813.33333333333337</v>
          </cell>
          <cell r="M97">
            <v>798.33333333333337</v>
          </cell>
          <cell r="N97">
            <v>798.33333333333337</v>
          </cell>
          <cell r="O97">
            <v>813.33333333333337</v>
          </cell>
          <cell r="T97">
            <v>4247.01</v>
          </cell>
        </row>
        <row r="98">
          <cell r="B98">
            <v>5114</v>
          </cell>
          <cell r="C98" t="str">
            <v>Storage</v>
          </cell>
          <cell r="D98">
            <v>100</v>
          </cell>
          <cell r="E98">
            <v>100</v>
          </cell>
          <cell r="F98">
            <v>100</v>
          </cell>
          <cell r="G98">
            <v>100</v>
          </cell>
          <cell r="H98">
            <v>100</v>
          </cell>
          <cell r="I98">
            <v>100</v>
          </cell>
          <cell r="J98">
            <v>100</v>
          </cell>
          <cell r="K98">
            <v>100</v>
          </cell>
          <cell r="L98">
            <v>100</v>
          </cell>
          <cell r="M98">
            <v>100</v>
          </cell>
          <cell r="N98">
            <v>100</v>
          </cell>
          <cell r="O98">
            <v>100</v>
          </cell>
          <cell r="T98">
            <v>1000</v>
          </cell>
        </row>
        <row r="99">
          <cell r="B99" t="str">
            <v>*340</v>
          </cell>
          <cell r="C99" t="str">
            <v>Telephone and Internet</v>
          </cell>
          <cell r="D99">
            <v>1575</v>
          </cell>
          <cell r="E99">
            <v>1575</v>
          </cell>
          <cell r="F99">
            <v>1620</v>
          </cell>
          <cell r="G99">
            <v>1620</v>
          </cell>
          <cell r="H99">
            <v>1620</v>
          </cell>
          <cell r="I99">
            <v>1620</v>
          </cell>
          <cell r="J99">
            <v>1620</v>
          </cell>
          <cell r="K99">
            <v>2120</v>
          </cell>
          <cell r="L99">
            <v>2120</v>
          </cell>
          <cell r="M99">
            <v>2120</v>
          </cell>
          <cell r="N99">
            <v>2120</v>
          </cell>
          <cell r="O99">
            <v>2120</v>
          </cell>
          <cell r="T99">
            <v>19251.760000000002</v>
          </cell>
        </row>
        <row r="100">
          <cell r="B100">
            <v>8285</v>
          </cell>
          <cell r="C100" t="str">
            <v>Temporary Contract Staff</v>
          </cell>
          <cell r="D100">
            <v>912</v>
          </cell>
          <cell r="E100">
            <v>912</v>
          </cell>
          <cell r="F100">
            <v>912</v>
          </cell>
          <cell r="G100">
            <v>912</v>
          </cell>
          <cell r="H100">
            <v>912</v>
          </cell>
          <cell r="I100">
            <v>912</v>
          </cell>
          <cell r="J100">
            <v>912</v>
          </cell>
          <cell r="K100">
            <v>912</v>
          </cell>
          <cell r="L100">
            <v>912</v>
          </cell>
          <cell r="M100">
            <v>912</v>
          </cell>
          <cell r="N100">
            <v>912</v>
          </cell>
          <cell r="O100">
            <v>-488</v>
          </cell>
          <cell r="T100">
            <v>5598</v>
          </cell>
        </row>
        <row r="101">
          <cell r="B101">
            <v>5363</v>
          </cell>
          <cell r="C101" t="str">
            <v>Trash Removal</v>
          </cell>
          <cell r="D101">
            <v>1533.3333333333333</v>
          </cell>
          <cell r="E101">
            <v>1533.3333333333333</v>
          </cell>
          <cell r="F101">
            <v>1533.3333333333333</v>
          </cell>
          <cell r="G101">
            <v>1533.3333333333333</v>
          </cell>
          <cell r="H101">
            <v>1533.3333333333333</v>
          </cell>
          <cell r="I101">
            <v>1533.3333333333333</v>
          </cell>
          <cell r="J101">
            <v>1533.3333333333333</v>
          </cell>
          <cell r="K101">
            <v>2333.333333333333</v>
          </cell>
          <cell r="L101">
            <v>2333.333333333333</v>
          </cell>
          <cell r="M101">
            <v>2333.333333333333</v>
          </cell>
          <cell r="N101">
            <v>2333.333333333333</v>
          </cell>
          <cell r="O101">
            <v>2333.333333333333</v>
          </cell>
          <cell r="T101">
            <v>14329.48</v>
          </cell>
        </row>
        <row r="102">
          <cell r="B102">
            <v>5356</v>
          </cell>
          <cell r="C102" t="str">
            <v>Uniforms</v>
          </cell>
          <cell r="D102">
            <v>100</v>
          </cell>
          <cell r="E102">
            <v>100</v>
          </cell>
          <cell r="F102">
            <v>100</v>
          </cell>
          <cell r="G102">
            <v>100</v>
          </cell>
          <cell r="H102">
            <v>100</v>
          </cell>
          <cell r="I102">
            <v>100</v>
          </cell>
          <cell r="J102">
            <v>100</v>
          </cell>
          <cell r="K102">
            <v>375</v>
          </cell>
          <cell r="L102">
            <v>100</v>
          </cell>
          <cell r="M102">
            <v>100</v>
          </cell>
          <cell r="N102">
            <v>300</v>
          </cell>
          <cell r="O102">
            <v>100</v>
          </cell>
          <cell r="T102">
            <v>0</v>
          </cell>
        </row>
        <row r="103">
          <cell r="B103" t="str">
            <v>*364</v>
          </cell>
          <cell r="C103" t="str">
            <v>Utilities</v>
          </cell>
          <cell r="D103">
            <v>2341.6666666666665</v>
          </cell>
          <cell r="E103">
            <v>2341.6666666666665</v>
          </cell>
          <cell r="F103">
            <v>2341.6666666666665</v>
          </cell>
          <cell r="G103">
            <v>2341.6666666666665</v>
          </cell>
          <cell r="H103">
            <v>2341.6666666666665</v>
          </cell>
          <cell r="I103">
            <v>2341.6666666666665</v>
          </cell>
          <cell r="J103">
            <v>2341.6666666666665</v>
          </cell>
          <cell r="K103">
            <v>2341.6666666666665</v>
          </cell>
          <cell r="L103">
            <v>2341.6666666666665</v>
          </cell>
          <cell r="M103">
            <v>2966.666666666667</v>
          </cell>
          <cell r="N103">
            <v>2966.666666666667</v>
          </cell>
          <cell r="O103">
            <v>2966.666666666667</v>
          </cell>
          <cell r="T103">
            <v>21850.14</v>
          </cell>
        </row>
        <row r="104">
          <cell r="B104" t="str">
            <v>5371-C</v>
          </cell>
          <cell r="C104" t="str">
            <v>Vehicle - Fuel/Propane</v>
          </cell>
          <cell r="D104">
            <v>1577.5</v>
          </cell>
          <cell r="E104">
            <v>1577.5</v>
          </cell>
          <cell r="F104">
            <v>1577.5</v>
          </cell>
          <cell r="G104">
            <v>1577.5</v>
          </cell>
          <cell r="H104">
            <v>1477.5</v>
          </cell>
          <cell r="I104">
            <v>1477.5</v>
          </cell>
          <cell r="J104">
            <v>1477.5</v>
          </cell>
          <cell r="K104">
            <v>1927.5</v>
          </cell>
          <cell r="L104">
            <v>1927.5</v>
          </cell>
          <cell r="M104">
            <v>2027.5</v>
          </cell>
          <cell r="N104">
            <v>2027.5</v>
          </cell>
          <cell r="O104">
            <v>2027.5</v>
          </cell>
          <cell r="T104">
            <v>12471.62</v>
          </cell>
        </row>
        <row r="105">
          <cell r="B105" t="str">
            <v>5371-B</v>
          </cell>
          <cell r="C105" t="str">
            <v>Vehicle - Insurance</v>
          </cell>
          <cell r="D105">
            <v>2538.6999378109458</v>
          </cell>
          <cell r="E105">
            <v>0</v>
          </cell>
          <cell r="F105">
            <v>0</v>
          </cell>
          <cell r="G105">
            <v>2535.75</v>
          </cell>
          <cell r="H105">
            <v>0</v>
          </cell>
          <cell r="I105">
            <v>0</v>
          </cell>
          <cell r="J105">
            <v>2535.75</v>
          </cell>
          <cell r="K105">
            <v>175</v>
          </cell>
          <cell r="L105">
            <v>175</v>
          </cell>
          <cell r="M105">
            <v>2712.8000621890546</v>
          </cell>
          <cell r="N105">
            <v>175</v>
          </cell>
          <cell r="O105">
            <v>175</v>
          </cell>
          <cell r="T105">
            <v>10144.25</v>
          </cell>
        </row>
        <row r="106">
          <cell r="B106" t="str">
            <v>5371-D</v>
          </cell>
          <cell r="C106" t="str">
            <v>Vehicle - Maintenance</v>
          </cell>
          <cell r="D106">
            <v>1516.6666666666667</v>
          </cell>
          <cell r="E106">
            <v>516.66666666666674</v>
          </cell>
          <cell r="F106">
            <v>516.66666666666674</v>
          </cell>
          <cell r="G106">
            <v>516.66666666666674</v>
          </cell>
          <cell r="H106">
            <v>516.66666666666674</v>
          </cell>
          <cell r="I106">
            <v>516.66666666666674</v>
          </cell>
          <cell r="J106">
            <v>516.66666666666674</v>
          </cell>
          <cell r="K106">
            <v>666.66666666666674</v>
          </cell>
          <cell r="L106">
            <v>666.66666666666674</v>
          </cell>
          <cell r="M106">
            <v>666.66666666666674</v>
          </cell>
          <cell r="N106">
            <v>666.66666666666674</v>
          </cell>
          <cell r="O106">
            <v>666.66666666666674</v>
          </cell>
          <cell r="T106">
            <v>14347.2</v>
          </cell>
        </row>
        <row r="107">
          <cell r="B107" t="str">
            <v>5371-A</v>
          </cell>
          <cell r="C107" t="str">
            <v>Vehicle - Tax/Lic</v>
          </cell>
          <cell r="D107">
            <v>177.24300000000002</v>
          </cell>
          <cell r="E107">
            <v>228.74700000000001</v>
          </cell>
          <cell r="F107">
            <v>0</v>
          </cell>
          <cell r="G107">
            <v>150.42699999999999</v>
          </cell>
          <cell r="H107">
            <v>142.56200000000001</v>
          </cell>
          <cell r="I107">
            <v>0</v>
          </cell>
          <cell r="J107">
            <v>0</v>
          </cell>
          <cell r="K107">
            <v>214.46700000000001</v>
          </cell>
          <cell r="L107">
            <v>650</v>
          </cell>
          <cell r="M107">
            <v>0</v>
          </cell>
          <cell r="N107">
            <v>0</v>
          </cell>
          <cell r="O107">
            <v>480.46700000000004</v>
          </cell>
          <cell r="T107">
            <v>955.83</v>
          </cell>
        </row>
        <row r="108">
          <cell r="B108" t="str">
            <v>5371-F</v>
          </cell>
          <cell r="C108" t="str">
            <v>Vehicle Lease</v>
          </cell>
          <cell r="D108">
            <v>1875</v>
          </cell>
          <cell r="E108">
            <v>1875</v>
          </cell>
          <cell r="F108">
            <v>1875</v>
          </cell>
          <cell r="G108">
            <v>1875</v>
          </cell>
          <cell r="H108">
            <v>1875</v>
          </cell>
          <cell r="I108">
            <v>1875</v>
          </cell>
          <cell r="J108">
            <v>1875</v>
          </cell>
          <cell r="K108">
            <v>2875</v>
          </cell>
          <cell r="L108">
            <v>2875</v>
          </cell>
          <cell r="M108">
            <v>2875</v>
          </cell>
          <cell r="N108">
            <v>2875</v>
          </cell>
          <cell r="O108">
            <v>2875</v>
          </cell>
          <cell r="T108">
            <v>9749.08</v>
          </cell>
        </row>
        <row r="109">
          <cell r="B109">
            <v>5373</v>
          </cell>
          <cell r="C109" t="str">
            <v>Vehicle/Equipment Rental</v>
          </cell>
          <cell r="D109">
            <v>200</v>
          </cell>
          <cell r="E109">
            <v>200</v>
          </cell>
          <cell r="F109">
            <v>200</v>
          </cell>
          <cell r="G109">
            <v>200</v>
          </cell>
          <cell r="H109">
            <v>200</v>
          </cell>
          <cell r="I109">
            <v>200</v>
          </cell>
          <cell r="J109">
            <v>200</v>
          </cell>
          <cell r="K109">
            <v>200</v>
          </cell>
          <cell r="L109">
            <v>200</v>
          </cell>
          <cell r="M109">
            <v>200</v>
          </cell>
          <cell r="N109">
            <v>200</v>
          </cell>
          <cell r="O109">
            <v>200</v>
          </cell>
          <cell r="T109">
            <v>4458.7700000000004</v>
          </cell>
        </row>
        <row r="110">
          <cell r="B110" t="str">
            <v>5208-3</v>
          </cell>
          <cell r="C110" t="str">
            <v>Volunteer Adopt-A-Day</v>
          </cell>
          <cell r="D110">
            <v>525</v>
          </cell>
          <cell r="E110">
            <v>75</v>
          </cell>
          <cell r="F110">
            <v>75</v>
          </cell>
          <cell r="G110">
            <v>75</v>
          </cell>
          <cell r="H110">
            <v>75</v>
          </cell>
          <cell r="I110">
            <v>75</v>
          </cell>
          <cell r="J110">
            <v>75</v>
          </cell>
          <cell r="K110">
            <v>75</v>
          </cell>
          <cell r="L110">
            <v>75</v>
          </cell>
          <cell r="M110">
            <v>75</v>
          </cell>
          <cell r="N110">
            <v>75</v>
          </cell>
          <cell r="O110">
            <v>75</v>
          </cell>
          <cell r="T110">
            <v>555.53</v>
          </cell>
        </row>
        <row r="111">
          <cell r="B111" t="str">
            <v>5208-1</v>
          </cell>
          <cell r="C111" t="str">
            <v>Volunteer Appreciation Event</v>
          </cell>
          <cell r="D111">
            <v>0</v>
          </cell>
          <cell r="E111">
            <v>0</v>
          </cell>
          <cell r="F111">
            <v>0</v>
          </cell>
          <cell r="G111">
            <v>0</v>
          </cell>
          <cell r="H111">
            <v>0</v>
          </cell>
          <cell r="I111">
            <v>0</v>
          </cell>
          <cell r="J111">
            <v>0</v>
          </cell>
          <cell r="K111">
            <v>0</v>
          </cell>
          <cell r="L111">
            <v>0</v>
          </cell>
          <cell r="M111">
            <v>12500</v>
          </cell>
          <cell r="N111">
            <v>0</v>
          </cell>
          <cell r="O111">
            <v>-2500</v>
          </cell>
          <cell r="T111">
            <v>0</v>
          </cell>
        </row>
        <row r="112">
          <cell r="B112">
            <v>5208</v>
          </cell>
          <cell r="C112" t="str">
            <v>Volunteer Expense</v>
          </cell>
          <cell r="D112">
            <v>1800</v>
          </cell>
          <cell r="E112">
            <v>1100</v>
          </cell>
          <cell r="F112">
            <v>800</v>
          </cell>
          <cell r="G112">
            <v>800</v>
          </cell>
          <cell r="H112">
            <v>1100</v>
          </cell>
          <cell r="I112">
            <v>800</v>
          </cell>
          <cell r="J112">
            <v>800</v>
          </cell>
          <cell r="K112">
            <v>800</v>
          </cell>
          <cell r="L112">
            <v>1350</v>
          </cell>
          <cell r="M112">
            <v>1050</v>
          </cell>
          <cell r="N112">
            <v>1350</v>
          </cell>
          <cell r="O112">
            <v>1050</v>
          </cell>
          <cell r="T112">
            <v>3784.65</v>
          </cell>
        </row>
        <row r="113">
          <cell r="B113" t="str">
            <v>5208-2</v>
          </cell>
          <cell r="C113" t="str">
            <v>Volunteer First Aid &amp; Safety Training</v>
          </cell>
          <cell r="D113">
            <v>0</v>
          </cell>
          <cell r="E113">
            <v>0</v>
          </cell>
          <cell r="F113">
            <v>50</v>
          </cell>
          <cell r="G113">
            <v>0</v>
          </cell>
          <cell r="H113">
            <v>0</v>
          </cell>
          <cell r="I113">
            <v>0</v>
          </cell>
          <cell r="J113">
            <v>0</v>
          </cell>
          <cell r="K113">
            <v>0</v>
          </cell>
          <cell r="L113">
            <v>50</v>
          </cell>
          <cell r="M113">
            <v>0</v>
          </cell>
          <cell r="N113">
            <v>0</v>
          </cell>
          <cell r="O113">
            <v>0</v>
          </cell>
          <cell r="T113">
            <v>255.16</v>
          </cell>
        </row>
        <row r="114">
          <cell r="B114" t="str">
            <v>5208-4</v>
          </cell>
          <cell r="C114" t="str">
            <v>Volunteer Special Groups</v>
          </cell>
          <cell r="D114">
            <v>0</v>
          </cell>
          <cell r="E114">
            <v>0</v>
          </cell>
          <cell r="F114">
            <v>0</v>
          </cell>
          <cell r="G114">
            <v>0</v>
          </cell>
          <cell r="H114">
            <v>0</v>
          </cell>
          <cell r="I114">
            <v>0</v>
          </cell>
          <cell r="J114">
            <v>0</v>
          </cell>
          <cell r="K114">
            <v>0</v>
          </cell>
          <cell r="L114">
            <v>0</v>
          </cell>
          <cell r="M114">
            <v>0</v>
          </cell>
          <cell r="N114">
            <v>0</v>
          </cell>
          <cell r="O114">
            <v>0</v>
          </cell>
          <cell r="T114">
            <v>2462.54</v>
          </cell>
        </row>
        <row r="115">
          <cell r="B115" t="str">
            <v>*255</v>
          </cell>
          <cell r="C115" t="str">
            <v>Wages</v>
          </cell>
          <cell r="D115">
            <v>119906.66391666666</v>
          </cell>
          <cell r="E115">
            <v>119906.66391666666</v>
          </cell>
          <cell r="F115">
            <v>119906.66391666666</v>
          </cell>
          <cell r="G115">
            <v>119906.66391666666</v>
          </cell>
          <cell r="H115">
            <v>119906.66391666666</v>
          </cell>
          <cell r="I115">
            <v>119906.66391666666</v>
          </cell>
          <cell r="J115">
            <v>124073.33058333334</v>
          </cell>
          <cell r="K115">
            <v>124073.33058333334</v>
          </cell>
          <cell r="L115">
            <v>124073.33058333334</v>
          </cell>
          <cell r="M115">
            <v>131699.99725000001</v>
          </cell>
          <cell r="N115">
            <v>131699.99725000001</v>
          </cell>
          <cell r="O115">
            <v>131699.99725000001</v>
          </cell>
          <cell r="T115">
            <v>1091882.01</v>
          </cell>
        </row>
        <row r="116">
          <cell r="B116">
            <v>5120</v>
          </cell>
          <cell r="C116" t="str">
            <v>Warranty Expense</v>
          </cell>
          <cell r="D116">
            <v>500</v>
          </cell>
          <cell r="E116">
            <v>500</v>
          </cell>
          <cell r="F116">
            <v>500</v>
          </cell>
          <cell r="G116">
            <v>500</v>
          </cell>
          <cell r="H116">
            <v>500</v>
          </cell>
          <cell r="I116">
            <v>500</v>
          </cell>
          <cell r="J116">
            <v>500</v>
          </cell>
          <cell r="K116">
            <v>500</v>
          </cell>
          <cell r="L116">
            <v>500</v>
          </cell>
          <cell r="M116">
            <v>500</v>
          </cell>
          <cell r="N116">
            <v>500</v>
          </cell>
          <cell r="O116">
            <v>500</v>
          </cell>
          <cell r="T116">
            <v>1816.38</v>
          </cell>
        </row>
        <row r="117">
          <cell r="B117" t="str">
            <v>*290</v>
          </cell>
          <cell r="C117" t="str">
            <v>Workers Comp Ins.</v>
          </cell>
          <cell r="D117">
            <v>10089.466666666667</v>
          </cell>
          <cell r="E117">
            <v>10089.466666666667</v>
          </cell>
          <cell r="F117">
            <v>10089.466666666667</v>
          </cell>
          <cell r="G117">
            <v>10089.466666666667</v>
          </cell>
          <cell r="H117">
            <v>10089.466666666667</v>
          </cell>
          <cell r="I117">
            <v>10089.466666666667</v>
          </cell>
          <cell r="J117">
            <v>0</v>
          </cell>
          <cell r="K117">
            <v>0</v>
          </cell>
          <cell r="L117">
            <v>0</v>
          </cell>
          <cell r="M117">
            <v>12298.413333333336</v>
          </cell>
          <cell r="N117">
            <v>12298.413333333336</v>
          </cell>
          <cell r="O117">
            <v>12298.413333333336</v>
          </cell>
          <cell r="T117">
            <v>37380</v>
          </cell>
        </row>
      </sheetData>
      <sheetData sheetId="4"/>
      <sheetData sheetId="5"/>
      <sheetData sheetId="6"/>
      <sheetData sheetId="7"/>
      <sheetData sheetId="8"/>
      <sheetData sheetId="9"/>
      <sheetData sheetId="10"/>
      <sheetData sheetId="11"/>
      <sheetData sheetId="12">
        <row r="23">
          <cell r="L23">
            <v>30963.323333333334</v>
          </cell>
          <cell r="M23">
            <v>44329.115333333335</v>
          </cell>
          <cell r="N23">
            <v>29654.65</v>
          </cell>
          <cell r="O23">
            <v>81250</v>
          </cell>
          <cell r="P23">
            <v>72250</v>
          </cell>
          <cell r="Q23">
            <v>82500</v>
          </cell>
          <cell r="R23">
            <v>87500</v>
          </cell>
          <cell r="S23">
            <v>75000</v>
          </cell>
          <cell r="T23">
            <v>66000</v>
          </cell>
          <cell r="U23">
            <v>66000</v>
          </cell>
          <cell r="V23">
            <v>79500</v>
          </cell>
          <cell r="W23">
            <v>60000</v>
          </cell>
        </row>
      </sheetData>
      <sheetData sheetId="13"/>
      <sheetData sheetId="14"/>
      <sheetData sheetId="15"/>
      <sheetData sheetId="16"/>
      <sheetData sheetId="17"/>
      <sheetData sheetId="18"/>
      <sheetData sheetId="19"/>
      <sheetData sheetId="20"/>
      <sheetData sheetId="21"/>
      <sheetData sheetId="22"/>
      <sheetData sheetId="23"/>
      <sheetData sheetId="24">
        <row r="61">
          <cell r="O61">
            <v>-52239.68</v>
          </cell>
        </row>
        <row r="67">
          <cell r="K67">
            <v>3863022.75</v>
          </cell>
        </row>
        <row r="250">
          <cell r="K250">
            <v>3441291.03</v>
          </cell>
        </row>
        <row r="252">
          <cell r="K252">
            <v>421731.72</v>
          </cell>
        </row>
      </sheetData>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sheetName val="capital"/>
      <sheetName val="variance(P&amp;L) - old one"/>
      <sheetName val="FY19 Budget Variance (P&amp;L)"/>
      <sheetName val="Cash Budget-FY19"/>
      <sheetName val="Cash Budget-FY20 (OLD)"/>
      <sheetName val="FY20 Highlights"/>
      <sheetName val="Cash Budget-FY20 (Links)"/>
      <sheetName val="Budget Total-FY20 (P&amp;L)"/>
      <sheetName val="FY20 Budget Variance (P&amp;L)"/>
      <sheetName val="Budget Total (P&amp;L-original)"/>
      <sheetName val="combined (P&amp;L)"/>
      <sheetName val="revenue"/>
      <sheetName val="family selection"/>
      <sheetName val="homeowner support"/>
      <sheetName val="homeowner services"/>
      <sheetName val="repairs"/>
      <sheetName val="construction"/>
      <sheetName val="construction GIK"/>
      <sheetName val="restore"/>
      <sheetName val="volunteer"/>
      <sheetName val="development"/>
      <sheetName val="mgmt"/>
      <sheetName val="supplies"/>
      <sheetName val="original COA"/>
    </sheetNames>
    <sheetDataSet>
      <sheetData sheetId="0"/>
      <sheetData sheetId="1"/>
      <sheetData sheetId="2"/>
      <sheetData sheetId="3"/>
      <sheetData sheetId="4"/>
      <sheetData sheetId="5"/>
      <sheetData sheetId="6"/>
      <sheetData sheetId="7"/>
      <sheetData sheetId="8">
        <row r="4">
          <cell r="B4">
            <v>4010</v>
          </cell>
          <cell r="C4" t="str">
            <v>Individuals</v>
          </cell>
          <cell r="D4">
            <v>10750</v>
          </cell>
          <cell r="E4">
            <v>10250</v>
          </cell>
          <cell r="F4">
            <v>21250</v>
          </cell>
          <cell r="G4">
            <v>12750</v>
          </cell>
          <cell r="H4">
            <v>27250</v>
          </cell>
          <cell r="I4">
            <v>62250</v>
          </cell>
          <cell r="J4">
            <v>22250</v>
          </cell>
          <cell r="K4">
            <v>21250</v>
          </cell>
          <cell r="L4">
            <v>11250</v>
          </cell>
          <cell r="M4">
            <v>9250</v>
          </cell>
          <cell r="N4">
            <v>8250</v>
          </cell>
          <cell r="O4">
            <v>8250</v>
          </cell>
          <cell r="P4">
            <v>225000</v>
          </cell>
          <cell r="S4">
            <v>210000</v>
          </cell>
          <cell r="T4">
            <v>194773.61</v>
          </cell>
          <cell r="U4">
            <v>206000</v>
          </cell>
        </row>
        <row r="5">
          <cell r="B5">
            <v>4020</v>
          </cell>
          <cell r="C5" t="str">
            <v>Corporations</v>
          </cell>
          <cell r="D5">
            <v>10500</v>
          </cell>
          <cell r="E5">
            <v>500</v>
          </cell>
          <cell r="F5">
            <v>45500</v>
          </cell>
          <cell r="G5">
            <v>500</v>
          </cell>
          <cell r="H5">
            <v>500</v>
          </cell>
          <cell r="I5">
            <v>52500</v>
          </cell>
          <cell r="J5">
            <v>500</v>
          </cell>
          <cell r="K5">
            <v>500</v>
          </cell>
          <cell r="L5">
            <v>45500</v>
          </cell>
          <cell r="M5">
            <v>500</v>
          </cell>
          <cell r="N5">
            <v>500</v>
          </cell>
          <cell r="O5">
            <v>120500</v>
          </cell>
          <cell r="P5">
            <v>278000</v>
          </cell>
          <cell r="S5">
            <v>23000</v>
          </cell>
          <cell r="T5">
            <v>80015.490000000005</v>
          </cell>
          <cell r="U5">
            <v>175000</v>
          </cell>
        </row>
        <row r="6">
          <cell r="B6">
            <v>4030</v>
          </cell>
          <cell r="C6" t="str">
            <v>Religious Institutions</v>
          </cell>
          <cell r="D6">
            <v>1750</v>
          </cell>
          <cell r="E6">
            <v>250</v>
          </cell>
          <cell r="F6">
            <v>250</v>
          </cell>
          <cell r="G6">
            <v>1750</v>
          </cell>
          <cell r="H6">
            <v>250</v>
          </cell>
          <cell r="I6">
            <v>250</v>
          </cell>
          <cell r="J6">
            <v>1750</v>
          </cell>
          <cell r="K6">
            <v>250</v>
          </cell>
          <cell r="L6">
            <v>250</v>
          </cell>
          <cell r="M6">
            <v>1750</v>
          </cell>
          <cell r="N6">
            <v>250</v>
          </cell>
          <cell r="O6">
            <v>15250</v>
          </cell>
          <cell r="P6">
            <v>24000</v>
          </cell>
          <cell r="S6">
            <v>9000</v>
          </cell>
          <cell r="T6">
            <v>11959.33</v>
          </cell>
          <cell r="U6">
            <v>41000</v>
          </cell>
        </row>
        <row r="7">
          <cell r="B7">
            <v>4035</v>
          </cell>
          <cell r="C7" t="str">
            <v>Community Groups</v>
          </cell>
          <cell r="D7">
            <v>1250</v>
          </cell>
          <cell r="E7">
            <v>1250</v>
          </cell>
          <cell r="F7">
            <v>1250</v>
          </cell>
          <cell r="G7">
            <v>1250</v>
          </cell>
          <cell r="H7">
            <v>1250</v>
          </cell>
          <cell r="I7">
            <v>1250</v>
          </cell>
          <cell r="J7">
            <v>1250</v>
          </cell>
          <cell r="K7">
            <v>1250</v>
          </cell>
          <cell r="L7">
            <v>1250</v>
          </cell>
          <cell r="M7">
            <v>1250</v>
          </cell>
          <cell r="N7">
            <v>1250</v>
          </cell>
          <cell r="O7">
            <v>1250</v>
          </cell>
          <cell r="P7">
            <v>15000</v>
          </cell>
          <cell r="S7">
            <v>15000</v>
          </cell>
          <cell r="T7">
            <v>11615.05</v>
          </cell>
          <cell r="U7">
            <v>12000</v>
          </cell>
        </row>
        <row r="8">
          <cell r="B8">
            <v>4050</v>
          </cell>
          <cell r="C8" t="str">
            <v>Government Grants</v>
          </cell>
          <cell r="D8">
            <v>306000</v>
          </cell>
          <cell r="E8">
            <v>0</v>
          </cell>
          <cell r="F8">
            <v>0</v>
          </cell>
          <cell r="G8">
            <v>0</v>
          </cell>
          <cell r="H8">
            <v>0</v>
          </cell>
          <cell r="I8">
            <v>0</v>
          </cell>
          <cell r="J8">
            <v>0</v>
          </cell>
          <cell r="K8">
            <v>0</v>
          </cell>
          <cell r="L8">
            <v>0</v>
          </cell>
          <cell r="M8">
            <v>0</v>
          </cell>
          <cell r="N8">
            <v>0</v>
          </cell>
          <cell r="O8">
            <v>0</v>
          </cell>
          <cell r="P8">
            <v>306000</v>
          </cell>
          <cell r="S8">
            <v>306000</v>
          </cell>
          <cell r="T8">
            <v>13092.04</v>
          </cell>
          <cell r="U8">
            <v>300000</v>
          </cell>
        </row>
        <row r="9">
          <cell r="B9">
            <v>4055</v>
          </cell>
          <cell r="C9" t="str">
            <v>HFH CO &amp; HFHI Grants</v>
          </cell>
          <cell r="D9">
            <v>5000</v>
          </cell>
          <cell r="E9">
            <v>0</v>
          </cell>
          <cell r="F9">
            <v>5000</v>
          </cell>
          <cell r="G9">
            <v>0</v>
          </cell>
          <cell r="H9">
            <v>0</v>
          </cell>
          <cell r="I9">
            <v>105000</v>
          </cell>
          <cell r="J9">
            <v>0</v>
          </cell>
          <cell r="K9">
            <v>0</v>
          </cell>
          <cell r="L9">
            <v>0</v>
          </cell>
          <cell r="M9">
            <v>0</v>
          </cell>
          <cell r="N9">
            <v>0</v>
          </cell>
          <cell r="O9">
            <v>0</v>
          </cell>
          <cell r="P9">
            <v>115000</v>
          </cell>
          <cell r="S9">
            <v>115000</v>
          </cell>
          <cell r="T9">
            <v>0</v>
          </cell>
          <cell r="U9">
            <v>26500</v>
          </cell>
        </row>
        <row r="10">
          <cell r="B10">
            <v>4056</v>
          </cell>
          <cell r="C10" t="str">
            <v>Contra - HFH CO &amp; HFHI Fees</v>
          </cell>
          <cell r="D10">
            <v>-500</v>
          </cell>
          <cell r="E10">
            <v>0</v>
          </cell>
          <cell r="F10">
            <v>0</v>
          </cell>
          <cell r="G10">
            <v>0</v>
          </cell>
          <cell r="H10">
            <v>0</v>
          </cell>
          <cell r="I10">
            <v>0</v>
          </cell>
          <cell r="J10">
            <v>0</v>
          </cell>
          <cell r="K10">
            <v>0</v>
          </cell>
          <cell r="L10">
            <v>0</v>
          </cell>
          <cell r="M10">
            <v>0</v>
          </cell>
          <cell r="N10">
            <v>0</v>
          </cell>
          <cell r="O10">
            <v>0</v>
          </cell>
          <cell r="P10">
            <v>-500</v>
          </cell>
          <cell r="S10">
            <v>-500</v>
          </cell>
          <cell r="T10">
            <v>-1650</v>
          </cell>
          <cell r="U10">
            <v>-2000</v>
          </cell>
        </row>
        <row r="11">
          <cell r="B11">
            <v>4080</v>
          </cell>
          <cell r="C11" t="str">
            <v>Corporate Grants</v>
          </cell>
          <cell r="D11">
            <v>0</v>
          </cell>
          <cell r="E11">
            <v>0</v>
          </cell>
          <cell r="F11">
            <v>5000</v>
          </cell>
          <cell r="G11">
            <v>0</v>
          </cell>
          <cell r="H11">
            <v>0</v>
          </cell>
          <cell r="I11">
            <v>5000</v>
          </cell>
          <cell r="J11">
            <v>0</v>
          </cell>
          <cell r="K11">
            <v>0</v>
          </cell>
          <cell r="L11">
            <v>0</v>
          </cell>
          <cell r="M11">
            <v>15000</v>
          </cell>
          <cell r="N11">
            <v>0</v>
          </cell>
          <cell r="O11">
            <v>0</v>
          </cell>
          <cell r="P11">
            <v>25000</v>
          </cell>
          <cell r="S11">
            <v>25000</v>
          </cell>
          <cell r="T11">
            <v>5000</v>
          </cell>
          <cell r="U11">
            <v>76500</v>
          </cell>
        </row>
        <row r="12">
          <cell r="B12">
            <v>4090</v>
          </cell>
          <cell r="C12" t="str">
            <v>Foundation Grants</v>
          </cell>
          <cell r="D12">
            <v>0</v>
          </cell>
          <cell r="E12">
            <v>0</v>
          </cell>
          <cell r="F12">
            <v>15000</v>
          </cell>
          <cell r="G12">
            <v>15000</v>
          </cell>
          <cell r="H12">
            <v>0</v>
          </cell>
          <cell r="I12">
            <v>0</v>
          </cell>
          <cell r="J12">
            <v>5000</v>
          </cell>
          <cell r="K12">
            <v>0</v>
          </cell>
          <cell r="L12">
            <v>0</v>
          </cell>
          <cell r="M12">
            <v>0</v>
          </cell>
          <cell r="N12">
            <v>0</v>
          </cell>
          <cell r="O12">
            <v>20000</v>
          </cell>
          <cell r="P12">
            <v>55000</v>
          </cell>
          <cell r="S12">
            <v>35000</v>
          </cell>
          <cell r="T12">
            <v>10000</v>
          </cell>
          <cell r="U12">
            <v>30000</v>
          </cell>
        </row>
        <row r="13">
          <cell r="B13">
            <v>4120</v>
          </cell>
          <cell r="C13" t="str">
            <v>GIK Business Materials</v>
          </cell>
          <cell r="D13">
            <v>0</v>
          </cell>
          <cell r="E13">
            <v>0</v>
          </cell>
          <cell r="F13">
            <v>500</v>
          </cell>
          <cell r="G13">
            <v>1000</v>
          </cell>
          <cell r="H13">
            <v>0</v>
          </cell>
          <cell r="I13">
            <v>0</v>
          </cell>
          <cell r="J13">
            <v>0</v>
          </cell>
          <cell r="K13">
            <v>0</v>
          </cell>
          <cell r="L13">
            <v>1000</v>
          </cell>
          <cell r="M13">
            <v>0</v>
          </cell>
          <cell r="N13">
            <v>0</v>
          </cell>
          <cell r="O13">
            <v>7150.0000000000009</v>
          </cell>
          <cell r="P13">
            <v>9650</v>
          </cell>
          <cell r="S13">
            <v>2500</v>
          </cell>
          <cell r="T13">
            <v>21508.58</v>
          </cell>
          <cell r="U13">
            <v>12000</v>
          </cell>
        </row>
        <row r="14">
          <cell r="B14">
            <v>4140</v>
          </cell>
          <cell r="C14" t="str">
            <v>GIK HFHI</v>
          </cell>
          <cell r="D14">
            <v>1214</v>
          </cell>
          <cell r="E14">
            <v>8128</v>
          </cell>
          <cell r="F14">
            <v>6900</v>
          </cell>
          <cell r="G14">
            <v>3000</v>
          </cell>
          <cell r="H14">
            <v>4106</v>
          </cell>
          <cell r="I14">
            <v>0</v>
          </cell>
          <cell r="J14">
            <v>2428</v>
          </cell>
          <cell r="K14">
            <v>42</v>
          </cell>
          <cell r="L14">
            <v>3000</v>
          </cell>
          <cell r="M14">
            <v>5128</v>
          </cell>
          <cell r="N14">
            <v>0</v>
          </cell>
          <cell r="O14">
            <v>1242</v>
          </cell>
          <cell r="P14">
            <v>35188</v>
          </cell>
          <cell r="S14">
            <v>35188</v>
          </cell>
          <cell r="T14">
            <v>19310.3</v>
          </cell>
          <cell r="U14">
            <v>11921</v>
          </cell>
        </row>
        <row r="15">
          <cell r="B15">
            <v>4170</v>
          </cell>
          <cell r="C15" t="str">
            <v>In Kind - Businesses</v>
          </cell>
          <cell r="D15">
            <v>32400</v>
          </cell>
          <cell r="E15">
            <v>1412</v>
          </cell>
          <cell r="F15">
            <v>3068</v>
          </cell>
          <cell r="G15">
            <v>5041</v>
          </cell>
          <cell r="H15">
            <v>5323</v>
          </cell>
          <cell r="I15">
            <v>34082</v>
          </cell>
          <cell r="J15">
            <v>1700</v>
          </cell>
          <cell r="K15">
            <v>4753</v>
          </cell>
          <cell r="L15">
            <v>34082</v>
          </cell>
          <cell r="M15">
            <v>300</v>
          </cell>
          <cell r="N15">
            <v>16200</v>
          </cell>
          <cell r="O15">
            <v>1650</v>
          </cell>
          <cell r="P15">
            <v>140011</v>
          </cell>
          <cell r="S15">
            <v>138511</v>
          </cell>
          <cell r="T15">
            <v>97005.5</v>
          </cell>
          <cell r="U15">
            <v>307775</v>
          </cell>
        </row>
        <row r="16">
          <cell r="B16">
            <v>4200</v>
          </cell>
          <cell r="C16" t="str">
            <v>Sale to Homeowners</v>
          </cell>
          <cell r="D16">
            <v>0</v>
          </cell>
          <cell r="E16">
            <v>0</v>
          </cell>
          <cell r="F16">
            <v>0</v>
          </cell>
          <cell r="G16">
            <v>0</v>
          </cell>
          <cell r="H16">
            <v>322000</v>
          </cell>
          <cell r="I16">
            <v>200000</v>
          </cell>
          <cell r="J16">
            <v>161000</v>
          </cell>
          <cell r="K16">
            <v>0</v>
          </cell>
          <cell r="L16">
            <v>0</v>
          </cell>
          <cell r="M16">
            <v>0</v>
          </cell>
          <cell r="N16">
            <v>0</v>
          </cell>
          <cell r="O16">
            <v>346000</v>
          </cell>
          <cell r="P16">
            <v>1029000</v>
          </cell>
          <cell r="S16">
            <v>1517000</v>
          </cell>
          <cell r="T16">
            <v>658000</v>
          </cell>
          <cell r="U16">
            <v>1264357</v>
          </cell>
        </row>
        <row r="17">
          <cell r="B17">
            <v>4410</v>
          </cell>
          <cell r="C17" t="str">
            <v>Resale Store Income Gross</v>
          </cell>
          <cell r="D17">
            <v>158375</v>
          </cell>
          <cell r="E17">
            <v>158375</v>
          </cell>
          <cell r="F17">
            <v>158375</v>
          </cell>
          <cell r="G17">
            <v>158375</v>
          </cell>
          <cell r="H17">
            <v>158375</v>
          </cell>
          <cell r="I17">
            <v>158375</v>
          </cell>
          <cell r="J17">
            <v>158375</v>
          </cell>
          <cell r="K17">
            <v>158375</v>
          </cell>
          <cell r="L17">
            <v>158375</v>
          </cell>
          <cell r="M17">
            <v>158375</v>
          </cell>
          <cell r="N17">
            <v>158375</v>
          </cell>
          <cell r="O17">
            <v>158375</v>
          </cell>
          <cell r="P17">
            <v>1900500</v>
          </cell>
          <cell r="S17">
            <v>1900500</v>
          </cell>
          <cell r="T17">
            <v>1390928.6700000002</v>
          </cell>
          <cell r="U17">
            <v>1810000</v>
          </cell>
        </row>
        <row r="18">
          <cell r="B18" t="str">
            <v>4410-01</v>
          </cell>
          <cell r="C18" t="str">
            <v>Short/Over Resale Store Inc Gro</v>
          </cell>
          <cell r="D18">
            <v>20</v>
          </cell>
          <cell r="E18">
            <v>20</v>
          </cell>
          <cell r="F18">
            <v>20</v>
          </cell>
          <cell r="G18">
            <v>20</v>
          </cell>
          <cell r="H18">
            <v>20</v>
          </cell>
          <cell r="I18">
            <v>20</v>
          </cell>
          <cell r="J18">
            <v>20</v>
          </cell>
          <cell r="K18">
            <v>20</v>
          </cell>
          <cell r="L18">
            <v>20</v>
          </cell>
          <cell r="M18">
            <v>20</v>
          </cell>
          <cell r="N18">
            <v>20</v>
          </cell>
          <cell r="O18">
            <v>20</v>
          </cell>
          <cell r="P18">
            <v>240</v>
          </cell>
          <cell r="S18">
            <v>240</v>
          </cell>
          <cell r="T18">
            <v>-6.44</v>
          </cell>
          <cell r="U18">
            <v>360</v>
          </cell>
        </row>
        <row r="19">
          <cell r="B19">
            <v>4451</v>
          </cell>
          <cell r="C19" t="str">
            <v>Individual Donation - ReStore</v>
          </cell>
          <cell r="D19">
            <v>1000</v>
          </cell>
          <cell r="E19">
            <v>1000</v>
          </cell>
          <cell r="F19">
            <v>1000</v>
          </cell>
          <cell r="G19">
            <v>1000</v>
          </cell>
          <cell r="H19">
            <v>1000</v>
          </cell>
          <cell r="I19">
            <v>1000</v>
          </cell>
          <cell r="J19">
            <v>1000</v>
          </cell>
          <cell r="K19">
            <v>1000</v>
          </cell>
          <cell r="L19">
            <v>1000</v>
          </cell>
          <cell r="M19">
            <v>1000</v>
          </cell>
          <cell r="N19">
            <v>1000</v>
          </cell>
          <cell r="O19">
            <v>1000</v>
          </cell>
          <cell r="P19">
            <v>12000</v>
          </cell>
          <cell r="S19">
            <v>10200</v>
          </cell>
          <cell r="T19">
            <v>7764.04</v>
          </cell>
          <cell r="U19">
            <v>9600</v>
          </cell>
        </row>
        <row r="20">
          <cell r="B20">
            <v>4520</v>
          </cell>
          <cell r="C20" t="str">
            <v>ReStore Program Income</v>
          </cell>
          <cell r="D20">
            <v>3625</v>
          </cell>
          <cell r="E20">
            <v>3625</v>
          </cell>
          <cell r="F20">
            <v>3625</v>
          </cell>
          <cell r="G20">
            <v>3625</v>
          </cell>
          <cell r="H20">
            <v>3625</v>
          </cell>
          <cell r="I20">
            <v>3625</v>
          </cell>
          <cell r="J20">
            <v>3625</v>
          </cell>
          <cell r="K20">
            <v>3625</v>
          </cell>
          <cell r="L20">
            <v>3625</v>
          </cell>
          <cell r="M20">
            <v>3625</v>
          </cell>
          <cell r="N20">
            <v>3625</v>
          </cell>
          <cell r="O20">
            <v>3625</v>
          </cell>
          <cell r="P20">
            <v>43500</v>
          </cell>
          <cell r="S20">
            <v>43500</v>
          </cell>
          <cell r="T20">
            <v>30008.38</v>
          </cell>
          <cell r="U20">
            <v>41750</v>
          </cell>
        </row>
        <row r="21">
          <cell r="B21">
            <v>4505</v>
          </cell>
          <cell r="C21" t="str">
            <v>Mortgage Discount Amortization</v>
          </cell>
          <cell r="D21">
            <v>15375</v>
          </cell>
          <cell r="E21">
            <v>15375</v>
          </cell>
          <cell r="F21">
            <v>15375</v>
          </cell>
          <cell r="G21">
            <v>15375</v>
          </cell>
          <cell r="H21">
            <v>15375</v>
          </cell>
          <cell r="I21">
            <v>15375</v>
          </cell>
          <cell r="J21">
            <v>15375</v>
          </cell>
          <cell r="K21">
            <v>15375</v>
          </cell>
          <cell r="L21">
            <v>15375</v>
          </cell>
          <cell r="M21">
            <v>15375</v>
          </cell>
          <cell r="N21">
            <v>15375</v>
          </cell>
          <cell r="O21">
            <v>15375</v>
          </cell>
          <cell r="P21">
            <v>184500</v>
          </cell>
          <cell r="S21">
            <v>184500</v>
          </cell>
          <cell r="T21">
            <v>493098.42</v>
          </cell>
          <cell r="U21">
            <v>184500</v>
          </cell>
        </row>
        <row r="22">
          <cell r="B22">
            <v>4518</v>
          </cell>
          <cell r="C22" t="str">
            <v>Repair Program</v>
          </cell>
          <cell r="D22">
            <v>0</v>
          </cell>
          <cell r="E22">
            <v>0</v>
          </cell>
          <cell r="F22">
            <v>0</v>
          </cell>
          <cell r="G22">
            <v>0</v>
          </cell>
          <cell r="H22">
            <v>0</v>
          </cell>
          <cell r="I22">
            <v>0</v>
          </cell>
          <cell r="J22">
            <v>0</v>
          </cell>
          <cell r="K22">
            <v>0</v>
          </cell>
          <cell r="L22">
            <v>0</v>
          </cell>
          <cell r="M22">
            <v>0</v>
          </cell>
          <cell r="N22">
            <v>7500</v>
          </cell>
          <cell r="O22">
            <v>0</v>
          </cell>
          <cell r="P22">
            <v>7500</v>
          </cell>
          <cell r="S22">
            <v>7500</v>
          </cell>
          <cell r="T22">
            <v>0</v>
          </cell>
          <cell r="U22">
            <v>0</v>
          </cell>
        </row>
        <row r="23">
          <cell r="B23">
            <v>4530</v>
          </cell>
          <cell r="C23" t="str">
            <v>Application Fees</v>
          </cell>
          <cell r="D23">
            <v>0</v>
          </cell>
          <cell r="E23">
            <v>0</v>
          </cell>
          <cell r="F23">
            <v>0</v>
          </cell>
          <cell r="G23">
            <v>0</v>
          </cell>
          <cell r="H23">
            <v>0</v>
          </cell>
          <cell r="I23">
            <v>0</v>
          </cell>
          <cell r="J23">
            <v>1050</v>
          </cell>
          <cell r="K23">
            <v>0</v>
          </cell>
          <cell r="L23">
            <v>0</v>
          </cell>
          <cell r="M23">
            <v>0</v>
          </cell>
          <cell r="N23">
            <v>0</v>
          </cell>
          <cell r="O23">
            <v>0</v>
          </cell>
          <cell r="P23">
            <v>1050</v>
          </cell>
          <cell r="S23">
            <v>1050</v>
          </cell>
          <cell r="T23">
            <v>1332</v>
          </cell>
          <cell r="U23">
            <v>3150</v>
          </cell>
        </row>
        <row r="24">
          <cell r="B24">
            <v>4550</v>
          </cell>
          <cell r="C24" t="str">
            <v>Late Fee Income</v>
          </cell>
          <cell r="D24">
            <v>70</v>
          </cell>
          <cell r="E24">
            <v>70</v>
          </cell>
          <cell r="F24">
            <v>70</v>
          </cell>
          <cell r="G24">
            <v>70</v>
          </cell>
          <cell r="H24">
            <v>70</v>
          </cell>
          <cell r="I24">
            <v>70</v>
          </cell>
          <cell r="J24">
            <v>70</v>
          </cell>
          <cell r="K24">
            <v>70</v>
          </cell>
          <cell r="L24">
            <v>70</v>
          </cell>
          <cell r="M24">
            <v>70</v>
          </cell>
          <cell r="N24">
            <v>70</v>
          </cell>
          <cell r="O24">
            <v>70</v>
          </cell>
          <cell r="P24">
            <v>840</v>
          </cell>
          <cell r="S24">
            <v>840</v>
          </cell>
          <cell r="T24">
            <v>575.88</v>
          </cell>
          <cell r="U24">
            <v>840</v>
          </cell>
        </row>
        <row r="25">
          <cell r="B25" t="str">
            <v>4610</v>
          </cell>
          <cell r="C25" t="str">
            <v>Dividend Income</v>
          </cell>
          <cell r="D25">
            <v>1666.6666666666667</v>
          </cell>
          <cell r="E25">
            <v>1666.6666666666667</v>
          </cell>
          <cell r="F25">
            <v>1666.6666666666667</v>
          </cell>
          <cell r="G25">
            <v>1666.6666666666667</v>
          </cell>
          <cell r="H25">
            <v>1666.6666666666667</v>
          </cell>
          <cell r="I25">
            <v>1666.6666666666667</v>
          </cell>
          <cell r="J25">
            <v>1666.6666666666667</v>
          </cell>
          <cell r="K25">
            <v>1666.6666666666667</v>
          </cell>
          <cell r="L25">
            <v>1666.6666666666667</v>
          </cell>
          <cell r="M25">
            <v>1666.6666666666667</v>
          </cell>
          <cell r="N25">
            <v>1666.6666666666667</v>
          </cell>
          <cell r="O25">
            <v>1666.6666666666667</v>
          </cell>
          <cell r="P25">
            <v>20000</v>
          </cell>
          <cell r="S25">
            <v>15000</v>
          </cell>
          <cell r="T25">
            <v>25162.720000000001</v>
          </cell>
          <cell r="U25">
            <v>0</v>
          </cell>
        </row>
        <row r="26">
          <cell r="B26">
            <v>4615</v>
          </cell>
          <cell r="C26" t="str">
            <v>Interest Income</v>
          </cell>
          <cell r="D26">
            <v>1083.3333333333333</v>
          </cell>
          <cell r="E26">
            <v>1083.3333333333333</v>
          </cell>
          <cell r="F26">
            <v>1083.3333333333333</v>
          </cell>
          <cell r="G26">
            <v>1083.3333333333333</v>
          </cell>
          <cell r="H26">
            <v>1083.3333333333333</v>
          </cell>
          <cell r="I26">
            <v>1083.3333333333333</v>
          </cell>
          <cell r="J26">
            <v>1083.3333333333333</v>
          </cell>
          <cell r="K26">
            <v>1083.3333333333333</v>
          </cell>
          <cell r="L26">
            <v>1083.3333333333333</v>
          </cell>
          <cell r="M26">
            <v>1083.3333333333333</v>
          </cell>
          <cell r="N26">
            <v>1083.3333333333333</v>
          </cell>
          <cell r="O26">
            <v>1083.3333333333333</v>
          </cell>
          <cell r="P26">
            <v>13000</v>
          </cell>
          <cell r="S26">
            <v>10000</v>
          </cell>
          <cell r="T26">
            <v>8532.1299999999992</v>
          </cell>
          <cell r="U26">
            <v>10000</v>
          </cell>
        </row>
        <row r="27">
          <cell r="B27">
            <v>4638</v>
          </cell>
          <cell r="C27" t="str">
            <v>Gain/Loss on Residence Dispos'n</v>
          </cell>
          <cell r="D27">
            <v>0</v>
          </cell>
          <cell r="E27">
            <v>0</v>
          </cell>
          <cell r="F27">
            <v>0</v>
          </cell>
          <cell r="G27">
            <v>0</v>
          </cell>
          <cell r="H27">
            <v>0</v>
          </cell>
          <cell r="I27">
            <v>0</v>
          </cell>
          <cell r="J27">
            <v>0</v>
          </cell>
          <cell r="K27">
            <v>0</v>
          </cell>
          <cell r="L27">
            <v>0</v>
          </cell>
          <cell r="M27">
            <v>0</v>
          </cell>
          <cell r="N27">
            <v>0</v>
          </cell>
          <cell r="O27">
            <v>60000</v>
          </cell>
          <cell r="P27">
            <v>60000</v>
          </cell>
          <cell r="S27">
            <v>50000</v>
          </cell>
          <cell r="T27">
            <v>50158.45</v>
          </cell>
          <cell r="U27">
            <v>25000</v>
          </cell>
        </row>
        <row r="28">
          <cell r="B28" t="str">
            <v>Total Revenue</v>
          </cell>
          <cell r="D28">
            <v>549579</v>
          </cell>
          <cell r="E28">
            <v>203005</v>
          </cell>
          <cell r="F28">
            <v>284933</v>
          </cell>
          <cell r="G28">
            <v>221506</v>
          </cell>
          <cell r="H28">
            <v>541894</v>
          </cell>
          <cell r="I28">
            <v>641547</v>
          </cell>
          <cell r="J28">
            <v>378143</v>
          </cell>
          <cell r="K28">
            <v>209260</v>
          </cell>
          <cell r="L28">
            <v>277547</v>
          </cell>
          <cell r="M28">
            <v>214393</v>
          </cell>
          <cell r="N28">
            <v>215165</v>
          </cell>
          <cell r="O28">
            <v>762507</v>
          </cell>
          <cell r="P28">
            <v>4499479</v>
          </cell>
          <cell r="Q28">
            <v>0</v>
          </cell>
          <cell r="R28">
            <v>0</v>
          </cell>
          <cell r="S28">
            <v>4654029</v>
          </cell>
          <cell r="T28">
            <v>3128184.1500000004</v>
          </cell>
          <cell r="U28">
            <v>4546253</v>
          </cell>
        </row>
        <row r="29">
          <cell r="P29">
            <v>0</v>
          </cell>
          <cell r="Q29">
            <v>0</v>
          </cell>
          <cell r="R29">
            <v>0</v>
          </cell>
          <cell r="S29">
            <v>154550</v>
          </cell>
          <cell r="T29">
            <v>0</v>
          </cell>
          <cell r="U29">
            <v>0</v>
          </cell>
        </row>
        <row r="30">
          <cell r="B30">
            <v>7310</v>
          </cell>
          <cell r="C30" t="str">
            <v>Accounting Fees</v>
          </cell>
          <cell r="D30">
            <v>0</v>
          </cell>
          <cell r="E30">
            <v>0</v>
          </cell>
          <cell r="F30">
            <v>12150</v>
          </cell>
          <cell r="G30">
            <v>0</v>
          </cell>
          <cell r="H30">
            <v>1950</v>
          </cell>
          <cell r="I30">
            <v>0</v>
          </cell>
          <cell r="J30">
            <v>0</v>
          </cell>
          <cell r="K30">
            <v>0</v>
          </cell>
          <cell r="L30">
            <v>0</v>
          </cell>
          <cell r="M30">
            <v>0</v>
          </cell>
          <cell r="N30">
            <v>0</v>
          </cell>
          <cell r="O30">
            <v>0</v>
          </cell>
          <cell r="P30">
            <v>14100</v>
          </cell>
          <cell r="S30">
            <v>15100</v>
          </cell>
          <cell r="T30">
            <v>13700</v>
          </cell>
          <cell r="U30">
            <v>12000</v>
          </cell>
        </row>
        <row r="31">
          <cell r="B31" t="str">
            <v>*386</v>
          </cell>
          <cell r="C31" t="str">
            <v>Advertising &amp; Marketing</v>
          </cell>
          <cell r="D31">
            <v>8025</v>
          </cell>
          <cell r="E31">
            <v>6525</v>
          </cell>
          <cell r="F31">
            <v>6525</v>
          </cell>
          <cell r="G31">
            <v>6525</v>
          </cell>
          <cell r="H31">
            <v>6525</v>
          </cell>
          <cell r="I31">
            <v>6525</v>
          </cell>
          <cell r="J31">
            <v>6925</v>
          </cell>
          <cell r="K31">
            <v>6525</v>
          </cell>
          <cell r="L31">
            <v>6525</v>
          </cell>
          <cell r="M31">
            <v>6525</v>
          </cell>
          <cell r="N31">
            <v>6525</v>
          </cell>
          <cell r="O31">
            <v>21525</v>
          </cell>
          <cell r="P31">
            <v>95200</v>
          </cell>
          <cell r="S31">
            <v>100700</v>
          </cell>
          <cell r="T31">
            <v>61594.11</v>
          </cell>
          <cell r="U31">
            <v>93000</v>
          </cell>
        </row>
        <row r="32">
          <cell r="B32">
            <v>7410</v>
          </cell>
          <cell r="C32" t="str">
            <v>Advocacy</v>
          </cell>
          <cell r="D32">
            <v>0</v>
          </cell>
          <cell r="E32">
            <v>0</v>
          </cell>
          <cell r="F32">
            <v>0</v>
          </cell>
          <cell r="G32">
            <v>0</v>
          </cell>
          <cell r="H32">
            <v>0</v>
          </cell>
          <cell r="I32">
            <v>0</v>
          </cell>
          <cell r="J32">
            <v>0</v>
          </cell>
          <cell r="K32">
            <v>0</v>
          </cell>
          <cell r="L32">
            <v>0</v>
          </cell>
          <cell r="M32">
            <v>0</v>
          </cell>
          <cell r="N32">
            <v>0</v>
          </cell>
          <cell r="O32">
            <v>500</v>
          </cell>
          <cell r="P32">
            <v>500</v>
          </cell>
          <cell r="S32">
            <v>0</v>
          </cell>
          <cell r="T32">
            <v>0</v>
          </cell>
          <cell r="U32">
            <v>0</v>
          </cell>
        </row>
        <row r="33">
          <cell r="B33" t="str">
            <v>*295</v>
          </cell>
          <cell r="C33" t="str">
            <v>Americorp/VISTA</v>
          </cell>
          <cell r="D33">
            <v>1666.6666666666667</v>
          </cell>
          <cell r="E33">
            <v>1666.6666666666667</v>
          </cell>
          <cell r="F33">
            <v>1666.6666666666667</v>
          </cell>
          <cell r="G33">
            <v>1666.6666666666667</v>
          </cell>
          <cell r="H33">
            <v>1666.6666666666667</v>
          </cell>
          <cell r="I33">
            <v>1666.6666666666667</v>
          </cell>
          <cell r="J33">
            <v>1666.6666666666667</v>
          </cell>
          <cell r="K33">
            <v>1666.6666666666667</v>
          </cell>
          <cell r="L33">
            <v>1666.6666666666667</v>
          </cell>
          <cell r="M33">
            <v>1666.6666666666667</v>
          </cell>
          <cell r="N33">
            <v>1666.6666666666667</v>
          </cell>
          <cell r="O33">
            <v>1666.6666666666667</v>
          </cell>
          <cell r="P33">
            <v>20000</v>
          </cell>
          <cell r="S33">
            <v>0</v>
          </cell>
          <cell r="T33">
            <v>0</v>
          </cell>
          <cell r="U33">
            <v>0</v>
          </cell>
        </row>
        <row r="34">
          <cell r="B34" t="str">
            <v>5206-1</v>
          </cell>
          <cell r="C34" t="str">
            <v>Background Checks</v>
          </cell>
          <cell r="D34">
            <v>0</v>
          </cell>
          <cell r="E34">
            <v>0</v>
          </cell>
          <cell r="F34">
            <v>0</v>
          </cell>
          <cell r="G34">
            <v>45</v>
          </cell>
          <cell r="H34">
            <v>0</v>
          </cell>
          <cell r="I34">
            <v>15</v>
          </cell>
          <cell r="J34">
            <v>30</v>
          </cell>
          <cell r="K34">
            <v>90</v>
          </cell>
          <cell r="L34">
            <v>15</v>
          </cell>
          <cell r="M34">
            <v>0</v>
          </cell>
          <cell r="N34">
            <v>0</v>
          </cell>
          <cell r="O34">
            <v>0</v>
          </cell>
          <cell r="P34">
            <v>195</v>
          </cell>
          <cell r="Q34">
            <v>0</v>
          </cell>
          <cell r="S34">
            <v>195</v>
          </cell>
          <cell r="T34">
            <v>212</v>
          </cell>
          <cell r="U34">
            <v>460</v>
          </cell>
        </row>
        <row r="35">
          <cell r="B35" t="str">
            <v>*325</v>
          </cell>
          <cell r="C35" t="str">
            <v>Bank &amp; Credit Card Fees</v>
          </cell>
          <cell r="D35">
            <v>2621</v>
          </cell>
          <cell r="E35">
            <v>2586</v>
          </cell>
          <cell r="F35">
            <v>2621</v>
          </cell>
          <cell r="G35">
            <v>2586</v>
          </cell>
          <cell r="H35">
            <v>2586</v>
          </cell>
          <cell r="I35">
            <v>2621</v>
          </cell>
          <cell r="J35">
            <v>2621</v>
          </cell>
          <cell r="K35">
            <v>2586</v>
          </cell>
          <cell r="L35">
            <v>2621</v>
          </cell>
          <cell r="M35">
            <v>2586</v>
          </cell>
          <cell r="N35">
            <v>2586</v>
          </cell>
          <cell r="O35">
            <v>2656</v>
          </cell>
          <cell r="P35">
            <v>31277</v>
          </cell>
          <cell r="S35">
            <v>7532</v>
          </cell>
          <cell r="T35">
            <v>26227.149999999998</v>
          </cell>
          <cell r="U35">
            <v>35000</v>
          </cell>
        </row>
        <row r="36">
          <cell r="B36">
            <v>7356</v>
          </cell>
          <cell r="C36" t="str">
            <v>Board of Directors</v>
          </cell>
          <cell r="D36">
            <v>0</v>
          </cell>
          <cell r="E36">
            <v>0</v>
          </cell>
          <cell r="F36">
            <v>25</v>
          </cell>
          <cell r="G36">
            <v>500</v>
          </cell>
          <cell r="H36">
            <v>0</v>
          </cell>
          <cell r="I36">
            <v>25</v>
          </cell>
          <cell r="J36">
            <v>0</v>
          </cell>
          <cell r="K36">
            <v>0</v>
          </cell>
          <cell r="L36">
            <v>25</v>
          </cell>
          <cell r="M36">
            <v>0</v>
          </cell>
          <cell r="N36">
            <v>25</v>
          </cell>
          <cell r="O36">
            <v>400</v>
          </cell>
          <cell r="P36">
            <v>1000</v>
          </cell>
          <cell r="S36">
            <v>1000</v>
          </cell>
          <cell r="T36">
            <v>419.81</v>
          </cell>
          <cell r="U36">
            <v>2000</v>
          </cell>
        </row>
        <row r="37">
          <cell r="B37">
            <v>5105</v>
          </cell>
          <cell r="C37" t="str">
            <v>Building &amp; Personal Prop Ins.</v>
          </cell>
          <cell r="D37">
            <v>1250</v>
          </cell>
          <cell r="E37">
            <v>1250</v>
          </cell>
          <cell r="F37">
            <v>1250</v>
          </cell>
          <cell r="G37">
            <v>1250</v>
          </cell>
          <cell r="H37">
            <v>3300</v>
          </cell>
          <cell r="I37">
            <v>1275</v>
          </cell>
          <cell r="J37">
            <v>1275</v>
          </cell>
          <cell r="K37">
            <v>1275</v>
          </cell>
          <cell r="L37">
            <v>1275</v>
          </cell>
          <cell r="M37">
            <v>1275</v>
          </cell>
          <cell r="N37">
            <v>1275</v>
          </cell>
          <cell r="O37">
            <v>1275</v>
          </cell>
          <cell r="P37">
            <v>17225</v>
          </cell>
          <cell r="S37">
            <v>17225</v>
          </cell>
          <cell r="T37">
            <v>11295.48</v>
          </cell>
          <cell r="U37">
            <v>17176</v>
          </cell>
        </row>
        <row r="38">
          <cell r="B38">
            <v>5361</v>
          </cell>
          <cell r="C38" t="str">
            <v>Building Equipment &amp; Repairs</v>
          </cell>
          <cell r="D38">
            <v>0</v>
          </cell>
          <cell r="E38">
            <v>0</v>
          </cell>
          <cell r="F38">
            <v>0</v>
          </cell>
          <cell r="G38">
            <v>0</v>
          </cell>
          <cell r="H38">
            <v>0</v>
          </cell>
          <cell r="I38">
            <v>4000</v>
          </cell>
          <cell r="J38">
            <v>0</v>
          </cell>
          <cell r="K38">
            <v>0</v>
          </cell>
          <cell r="L38">
            <v>0</v>
          </cell>
          <cell r="M38">
            <v>0</v>
          </cell>
          <cell r="N38">
            <v>0</v>
          </cell>
          <cell r="O38">
            <v>4000</v>
          </cell>
          <cell r="P38">
            <v>8000</v>
          </cell>
          <cell r="S38">
            <v>5000</v>
          </cell>
          <cell r="T38">
            <v>3440.03</v>
          </cell>
          <cell r="U38">
            <v>8000</v>
          </cell>
        </row>
        <row r="39">
          <cell r="B39">
            <v>5572</v>
          </cell>
          <cell r="C39" t="str">
            <v>Cash Short and Over</v>
          </cell>
          <cell r="D39">
            <v>20</v>
          </cell>
          <cell r="E39">
            <v>20</v>
          </cell>
          <cell r="F39">
            <v>20</v>
          </cell>
          <cell r="G39">
            <v>20</v>
          </cell>
          <cell r="H39">
            <v>20</v>
          </cell>
          <cell r="I39">
            <v>20</v>
          </cell>
          <cell r="J39">
            <v>20</v>
          </cell>
          <cell r="K39">
            <v>20</v>
          </cell>
          <cell r="L39">
            <v>20</v>
          </cell>
          <cell r="M39">
            <v>20</v>
          </cell>
          <cell r="N39">
            <v>20</v>
          </cell>
          <cell r="O39">
            <v>20</v>
          </cell>
          <cell r="P39">
            <v>240</v>
          </cell>
          <cell r="S39">
            <v>240</v>
          </cell>
          <cell r="T39">
            <v>-6.44</v>
          </cell>
          <cell r="U39">
            <v>360</v>
          </cell>
        </row>
        <row r="40">
          <cell r="B40">
            <v>5204</v>
          </cell>
          <cell r="C40" t="str">
            <v>Closing Costs</v>
          </cell>
          <cell r="D40">
            <v>0</v>
          </cell>
          <cell r="E40">
            <v>0</v>
          </cell>
          <cell r="F40">
            <v>0</v>
          </cell>
          <cell r="G40">
            <v>0</v>
          </cell>
          <cell r="H40">
            <v>4560</v>
          </cell>
          <cell r="I40">
            <v>0</v>
          </cell>
          <cell r="J40">
            <v>1520</v>
          </cell>
          <cell r="K40">
            <v>3040</v>
          </cell>
          <cell r="L40">
            <v>0</v>
          </cell>
          <cell r="M40">
            <v>1520</v>
          </cell>
          <cell r="N40">
            <v>0</v>
          </cell>
          <cell r="O40">
            <v>0</v>
          </cell>
          <cell r="P40">
            <v>10640</v>
          </cell>
          <cell r="S40">
            <v>10640</v>
          </cell>
          <cell r="T40">
            <v>24096.84</v>
          </cell>
          <cell r="U40">
            <v>14400</v>
          </cell>
        </row>
        <row r="41">
          <cell r="B41" t="str">
            <v>*400</v>
          </cell>
          <cell r="C41" t="str">
            <v>Confs, Mtgs, Prof'al Dev'mt</v>
          </cell>
          <cell r="D41">
            <v>1299</v>
          </cell>
          <cell r="E41">
            <v>550</v>
          </cell>
          <cell r="F41">
            <v>1890</v>
          </cell>
          <cell r="G41">
            <v>924</v>
          </cell>
          <cell r="H41">
            <v>1550</v>
          </cell>
          <cell r="I41">
            <v>2050</v>
          </cell>
          <cell r="J41">
            <v>845</v>
          </cell>
          <cell r="K41">
            <v>335</v>
          </cell>
          <cell r="L41">
            <v>4050</v>
          </cell>
          <cell r="M41">
            <v>500</v>
          </cell>
          <cell r="N41">
            <v>5082</v>
          </cell>
          <cell r="O41">
            <v>925</v>
          </cell>
          <cell r="P41">
            <v>20000</v>
          </cell>
          <cell r="R41">
            <v>0</v>
          </cell>
          <cell r="S41">
            <v>20000</v>
          </cell>
          <cell r="T41">
            <v>20255.71</v>
          </cell>
          <cell r="U41">
            <v>29906</v>
          </cell>
        </row>
        <row r="42">
          <cell r="B42">
            <v>5571</v>
          </cell>
          <cell r="C42" t="str">
            <v>Consignment Purchase</v>
          </cell>
          <cell r="D42">
            <v>2500</v>
          </cell>
          <cell r="E42">
            <v>2500</v>
          </cell>
          <cell r="F42">
            <v>2500</v>
          </cell>
          <cell r="G42">
            <v>2500</v>
          </cell>
          <cell r="H42">
            <v>2500</v>
          </cell>
          <cell r="I42">
            <v>2500</v>
          </cell>
          <cell r="J42">
            <v>2500</v>
          </cell>
          <cell r="K42">
            <v>2500</v>
          </cell>
          <cell r="L42">
            <v>2500</v>
          </cell>
          <cell r="M42">
            <v>2500</v>
          </cell>
          <cell r="N42">
            <v>2500</v>
          </cell>
          <cell r="O42">
            <v>2500</v>
          </cell>
          <cell r="P42">
            <v>30000</v>
          </cell>
          <cell r="S42">
            <v>30000</v>
          </cell>
          <cell r="T42">
            <v>16442.75</v>
          </cell>
          <cell r="U42">
            <v>30000</v>
          </cell>
        </row>
        <row r="43">
          <cell r="B43">
            <v>5118</v>
          </cell>
          <cell r="C43" t="str">
            <v>Const Supplies and Tools</v>
          </cell>
          <cell r="D43">
            <v>0</v>
          </cell>
          <cell r="E43">
            <v>0</v>
          </cell>
          <cell r="F43">
            <v>375</v>
          </cell>
          <cell r="G43">
            <v>0</v>
          </cell>
          <cell r="H43">
            <v>0</v>
          </cell>
          <cell r="I43">
            <v>375</v>
          </cell>
          <cell r="J43">
            <v>0</v>
          </cell>
          <cell r="K43">
            <v>0</v>
          </cell>
          <cell r="L43">
            <v>375</v>
          </cell>
          <cell r="M43">
            <v>0</v>
          </cell>
          <cell r="N43">
            <v>0</v>
          </cell>
          <cell r="O43">
            <v>375</v>
          </cell>
          <cell r="P43">
            <v>1500</v>
          </cell>
          <cell r="S43">
            <v>1500</v>
          </cell>
          <cell r="T43">
            <v>2089.6</v>
          </cell>
          <cell r="U43">
            <v>3000</v>
          </cell>
        </row>
        <row r="44">
          <cell r="B44">
            <v>5102</v>
          </cell>
          <cell r="C44" t="str">
            <v>Cost of Homes Sold (CIP)</v>
          </cell>
          <cell r="D44">
            <v>0</v>
          </cell>
          <cell r="E44">
            <v>0</v>
          </cell>
          <cell r="F44">
            <v>0</v>
          </cell>
          <cell r="G44">
            <v>0</v>
          </cell>
          <cell r="H44">
            <v>280000</v>
          </cell>
          <cell r="I44">
            <v>420000</v>
          </cell>
          <cell r="J44">
            <v>140000</v>
          </cell>
          <cell r="K44">
            <v>0</v>
          </cell>
          <cell r="L44">
            <v>0</v>
          </cell>
          <cell r="M44">
            <v>0</v>
          </cell>
          <cell r="N44">
            <v>0</v>
          </cell>
          <cell r="O44">
            <v>280000</v>
          </cell>
          <cell r="P44">
            <v>1120000</v>
          </cell>
          <cell r="S44">
            <v>1500000</v>
          </cell>
          <cell r="T44">
            <v>784220.08</v>
          </cell>
          <cell r="U44">
            <v>1000000</v>
          </cell>
        </row>
        <row r="45">
          <cell r="B45">
            <v>5570</v>
          </cell>
          <cell r="C45" t="str">
            <v>Cost of Purchased Mdse Sold</v>
          </cell>
          <cell r="D45">
            <v>6500</v>
          </cell>
          <cell r="E45">
            <v>6500</v>
          </cell>
          <cell r="F45">
            <v>6500</v>
          </cell>
          <cell r="G45">
            <v>6500</v>
          </cell>
          <cell r="H45">
            <v>6500</v>
          </cell>
          <cell r="I45">
            <v>6500</v>
          </cell>
          <cell r="J45">
            <v>6500</v>
          </cell>
          <cell r="K45">
            <v>6500</v>
          </cell>
          <cell r="L45">
            <v>6500</v>
          </cell>
          <cell r="M45">
            <v>6500</v>
          </cell>
          <cell r="N45">
            <v>6500</v>
          </cell>
          <cell r="O45">
            <v>6500</v>
          </cell>
          <cell r="P45">
            <v>78000</v>
          </cell>
          <cell r="S45">
            <v>80000</v>
          </cell>
          <cell r="T45">
            <v>47386.43</v>
          </cell>
          <cell r="U45">
            <v>92400</v>
          </cell>
        </row>
        <row r="46">
          <cell r="B46">
            <v>5123</v>
          </cell>
          <cell r="C46" t="str">
            <v>Cost of Repairs-Repair Prgm</v>
          </cell>
          <cell r="D46">
            <v>0</v>
          </cell>
          <cell r="E46">
            <v>0</v>
          </cell>
          <cell r="F46">
            <v>0</v>
          </cell>
          <cell r="G46">
            <v>0</v>
          </cell>
          <cell r="H46">
            <v>0</v>
          </cell>
          <cell r="I46">
            <v>0</v>
          </cell>
          <cell r="J46">
            <v>0</v>
          </cell>
          <cell r="K46">
            <v>0</v>
          </cell>
          <cell r="L46">
            <v>0</v>
          </cell>
          <cell r="M46">
            <v>0</v>
          </cell>
          <cell r="N46">
            <v>7500</v>
          </cell>
          <cell r="O46">
            <v>0</v>
          </cell>
          <cell r="P46">
            <v>7500</v>
          </cell>
          <cell r="S46">
            <v>7500</v>
          </cell>
          <cell r="T46">
            <v>11296.46</v>
          </cell>
          <cell r="U46">
            <v>15720</v>
          </cell>
        </row>
        <row r="47">
          <cell r="B47">
            <v>5206</v>
          </cell>
          <cell r="C47" t="str">
            <v>Credit Checks</v>
          </cell>
          <cell r="D47">
            <v>0</v>
          </cell>
          <cell r="E47">
            <v>0</v>
          </cell>
          <cell r="F47">
            <v>0</v>
          </cell>
          <cell r="G47">
            <v>135</v>
          </cell>
          <cell r="H47">
            <v>0</v>
          </cell>
          <cell r="I47">
            <v>45</v>
          </cell>
          <cell r="J47">
            <v>1440</v>
          </cell>
          <cell r="K47">
            <v>0</v>
          </cell>
          <cell r="L47">
            <v>45</v>
          </cell>
          <cell r="M47">
            <v>0</v>
          </cell>
          <cell r="N47">
            <v>0</v>
          </cell>
          <cell r="O47">
            <v>0</v>
          </cell>
          <cell r="P47">
            <v>1665</v>
          </cell>
          <cell r="S47">
            <v>1665</v>
          </cell>
          <cell r="T47">
            <v>2025.12</v>
          </cell>
          <cell r="U47">
            <v>3535</v>
          </cell>
        </row>
        <row r="48">
          <cell r="B48">
            <v>5210</v>
          </cell>
          <cell r="C48" t="str">
            <v>Dedications &amp; Groundbreakings</v>
          </cell>
          <cell r="D48">
            <v>0</v>
          </cell>
          <cell r="E48">
            <v>0</v>
          </cell>
          <cell r="F48">
            <v>0</v>
          </cell>
          <cell r="G48">
            <v>450</v>
          </cell>
          <cell r="H48">
            <v>0</v>
          </cell>
          <cell r="I48">
            <v>0</v>
          </cell>
          <cell r="J48">
            <v>300</v>
          </cell>
          <cell r="K48">
            <v>350</v>
          </cell>
          <cell r="L48">
            <v>0</v>
          </cell>
          <cell r="M48">
            <v>300</v>
          </cell>
          <cell r="N48">
            <v>0</v>
          </cell>
          <cell r="O48">
            <v>0</v>
          </cell>
          <cell r="P48">
            <v>1400</v>
          </cell>
          <cell r="S48">
            <v>1400</v>
          </cell>
          <cell r="T48">
            <v>1472.31</v>
          </cell>
          <cell r="U48">
            <v>445</v>
          </cell>
        </row>
        <row r="49">
          <cell r="B49">
            <v>5426</v>
          </cell>
          <cell r="C49" t="str">
            <v>Depreciation - Building</v>
          </cell>
          <cell r="D49">
            <v>4327.17</v>
          </cell>
          <cell r="E49">
            <v>4327.17</v>
          </cell>
          <cell r="F49">
            <v>4327.17</v>
          </cell>
          <cell r="G49">
            <v>4327.17</v>
          </cell>
          <cell r="H49">
            <v>4327.17</v>
          </cell>
          <cell r="I49">
            <v>4327.17</v>
          </cell>
          <cell r="J49">
            <v>4327.17</v>
          </cell>
          <cell r="K49">
            <v>4327.17</v>
          </cell>
          <cell r="L49">
            <v>4327.17</v>
          </cell>
          <cell r="M49">
            <v>4327.17</v>
          </cell>
          <cell r="N49">
            <v>4327.17</v>
          </cell>
          <cell r="O49">
            <v>4327.17</v>
          </cell>
          <cell r="P49">
            <v>51927</v>
          </cell>
          <cell r="S49">
            <v>51927</v>
          </cell>
          <cell r="T49">
            <v>38944.53</v>
          </cell>
          <cell r="U49">
            <v>51989</v>
          </cell>
        </row>
        <row r="50">
          <cell r="B50">
            <v>5424</v>
          </cell>
          <cell r="C50" t="str">
            <v>Depreciation - Building Equip</v>
          </cell>
          <cell r="D50">
            <v>29.62</v>
          </cell>
          <cell r="E50">
            <v>29.62</v>
          </cell>
          <cell r="F50">
            <v>29.62</v>
          </cell>
          <cell r="G50">
            <v>29.62</v>
          </cell>
          <cell r="H50">
            <v>29.62</v>
          </cell>
          <cell r="I50">
            <v>29.62</v>
          </cell>
          <cell r="J50">
            <v>29.62</v>
          </cell>
          <cell r="K50">
            <v>29.62</v>
          </cell>
          <cell r="L50">
            <v>29.62</v>
          </cell>
          <cell r="M50">
            <v>29.62</v>
          </cell>
          <cell r="N50">
            <v>29.62</v>
          </cell>
          <cell r="O50">
            <v>29.62</v>
          </cell>
          <cell r="P50">
            <v>356</v>
          </cell>
          <cell r="S50">
            <v>356</v>
          </cell>
          <cell r="T50">
            <v>266.58</v>
          </cell>
          <cell r="U50">
            <v>356</v>
          </cell>
        </row>
        <row r="51">
          <cell r="B51">
            <v>5425</v>
          </cell>
          <cell r="C51" t="str">
            <v>Depreciation - Construction Equ</v>
          </cell>
          <cell r="D51">
            <v>699.97</v>
          </cell>
          <cell r="E51">
            <v>699.97</v>
          </cell>
          <cell r="F51">
            <v>699.97</v>
          </cell>
          <cell r="G51">
            <v>699.97</v>
          </cell>
          <cell r="H51">
            <v>699.97</v>
          </cell>
          <cell r="I51">
            <v>699.97</v>
          </cell>
          <cell r="J51">
            <v>699.97</v>
          </cell>
          <cell r="K51">
            <v>699.97</v>
          </cell>
          <cell r="L51">
            <v>699.97</v>
          </cell>
          <cell r="M51">
            <v>699.97</v>
          </cell>
          <cell r="N51">
            <v>699.97</v>
          </cell>
          <cell r="O51">
            <v>699.97</v>
          </cell>
          <cell r="P51">
            <v>8400</v>
          </cell>
          <cell r="S51">
            <v>8400</v>
          </cell>
          <cell r="T51">
            <v>6299.73</v>
          </cell>
          <cell r="U51">
            <v>8400</v>
          </cell>
        </row>
        <row r="52">
          <cell r="B52">
            <v>5423</v>
          </cell>
          <cell r="C52" t="str">
            <v>Depreciation - Office Equip</v>
          </cell>
          <cell r="D52">
            <v>268.3</v>
          </cell>
          <cell r="E52">
            <v>268.3</v>
          </cell>
          <cell r="F52">
            <v>268.3</v>
          </cell>
          <cell r="G52">
            <v>268.3</v>
          </cell>
          <cell r="H52">
            <v>268.3</v>
          </cell>
          <cell r="I52">
            <v>268.3</v>
          </cell>
          <cell r="J52">
            <v>268.3</v>
          </cell>
          <cell r="K52">
            <v>268.3</v>
          </cell>
          <cell r="L52">
            <v>268.3</v>
          </cell>
          <cell r="M52">
            <v>268.3</v>
          </cell>
          <cell r="N52">
            <v>268.3</v>
          </cell>
          <cell r="O52">
            <v>268.3</v>
          </cell>
          <cell r="P52">
            <v>3220</v>
          </cell>
          <cell r="S52">
            <v>3220</v>
          </cell>
          <cell r="T52">
            <v>2624.8</v>
          </cell>
          <cell r="U52">
            <v>4571</v>
          </cell>
        </row>
        <row r="53">
          <cell r="B53">
            <v>8428</v>
          </cell>
          <cell r="C53" t="str">
            <v>Depreciation - Software</v>
          </cell>
          <cell r="D53">
            <v>0</v>
          </cell>
          <cell r="E53">
            <v>0</v>
          </cell>
          <cell r="F53">
            <v>0</v>
          </cell>
          <cell r="G53">
            <v>0</v>
          </cell>
          <cell r="H53">
            <v>0</v>
          </cell>
          <cell r="I53">
            <v>0</v>
          </cell>
          <cell r="J53">
            <v>0</v>
          </cell>
          <cell r="K53">
            <v>0</v>
          </cell>
          <cell r="L53">
            <v>0</v>
          </cell>
          <cell r="M53">
            <v>0</v>
          </cell>
          <cell r="N53">
            <v>0</v>
          </cell>
          <cell r="O53">
            <v>0</v>
          </cell>
          <cell r="P53">
            <v>0</v>
          </cell>
          <cell r="S53">
            <v>0</v>
          </cell>
          <cell r="T53">
            <v>1403.28</v>
          </cell>
          <cell r="U53">
            <v>1871</v>
          </cell>
        </row>
        <row r="54">
          <cell r="B54">
            <v>5422</v>
          </cell>
          <cell r="C54" t="str">
            <v>Depreciation - Vehicle</v>
          </cell>
          <cell r="D54">
            <v>858.33</v>
          </cell>
          <cell r="E54">
            <v>858.33</v>
          </cell>
          <cell r="F54">
            <v>858.33</v>
          </cell>
          <cell r="G54">
            <v>858.33</v>
          </cell>
          <cell r="H54">
            <v>858.33</v>
          </cell>
          <cell r="I54">
            <v>858.33</v>
          </cell>
          <cell r="J54">
            <v>858.33</v>
          </cell>
          <cell r="K54">
            <v>858.33</v>
          </cell>
          <cell r="L54">
            <v>858.33</v>
          </cell>
          <cell r="M54">
            <v>858.33</v>
          </cell>
          <cell r="N54">
            <v>858.33</v>
          </cell>
          <cell r="O54">
            <v>858.33</v>
          </cell>
          <cell r="P54">
            <v>10300</v>
          </cell>
          <cell r="S54">
            <v>10300</v>
          </cell>
          <cell r="T54">
            <v>6099.97</v>
          </cell>
          <cell r="U54">
            <v>6400</v>
          </cell>
        </row>
        <row r="55">
          <cell r="B55">
            <v>5428</v>
          </cell>
          <cell r="C55" t="str">
            <v>Depreciation-Software</v>
          </cell>
          <cell r="D55">
            <v>44.44</v>
          </cell>
          <cell r="E55">
            <v>44.44</v>
          </cell>
          <cell r="F55">
            <v>44.44</v>
          </cell>
          <cell r="G55">
            <v>44.44</v>
          </cell>
          <cell r="H55">
            <v>44.44</v>
          </cell>
          <cell r="I55">
            <v>44.44</v>
          </cell>
          <cell r="J55">
            <v>44.44</v>
          </cell>
          <cell r="K55">
            <v>44.44</v>
          </cell>
          <cell r="L55">
            <v>44.44</v>
          </cell>
          <cell r="M55">
            <v>44.44</v>
          </cell>
          <cell r="N55">
            <v>44.44</v>
          </cell>
          <cell r="O55">
            <v>44.44</v>
          </cell>
          <cell r="P55">
            <v>534</v>
          </cell>
          <cell r="S55">
            <v>0</v>
          </cell>
          <cell r="T55">
            <v>0</v>
          </cell>
          <cell r="U55">
            <v>2797</v>
          </cell>
        </row>
        <row r="56">
          <cell r="B56" t="str">
            <v>*315/325</v>
          </cell>
          <cell r="C56" t="str">
            <v>Dues &amp; Subscriptions</v>
          </cell>
          <cell r="D56">
            <v>8465.5</v>
          </cell>
          <cell r="E56">
            <v>221</v>
          </cell>
          <cell r="F56">
            <v>301</v>
          </cell>
          <cell r="G56">
            <v>500</v>
          </cell>
          <cell r="H56">
            <v>922</v>
          </cell>
          <cell r="I56">
            <v>2456</v>
          </cell>
          <cell r="J56">
            <v>536</v>
          </cell>
          <cell r="K56">
            <v>56</v>
          </cell>
          <cell r="L56">
            <v>56</v>
          </cell>
          <cell r="M56">
            <v>56</v>
          </cell>
          <cell r="N56">
            <v>56</v>
          </cell>
          <cell r="O56">
            <v>10056</v>
          </cell>
          <cell r="P56">
            <v>23682</v>
          </cell>
          <cell r="S56">
            <v>13682</v>
          </cell>
          <cell r="T56">
            <v>23296.46</v>
          </cell>
          <cell r="U56">
            <v>26245</v>
          </cell>
        </row>
        <row r="57">
          <cell r="B57">
            <v>6560</v>
          </cell>
          <cell r="C57" t="str">
            <v>Employer Payroll Taxes</v>
          </cell>
          <cell r="D57">
            <v>10698.156666666666</v>
          </cell>
          <cell r="E57">
            <v>10698.156666666666</v>
          </cell>
          <cell r="F57">
            <v>10698.156666666666</v>
          </cell>
          <cell r="G57">
            <v>10698.156666666666</v>
          </cell>
          <cell r="H57">
            <v>10698.156666666666</v>
          </cell>
          <cell r="I57">
            <v>10698.156666666666</v>
          </cell>
          <cell r="J57">
            <v>10698.156666666666</v>
          </cell>
          <cell r="K57">
            <v>10698.156666666666</v>
          </cell>
          <cell r="L57">
            <v>10698.156666666666</v>
          </cell>
          <cell r="M57">
            <v>10698.156666666666</v>
          </cell>
          <cell r="N57">
            <v>10698.156666666666</v>
          </cell>
          <cell r="O57">
            <v>10698.156666666666</v>
          </cell>
          <cell r="P57">
            <v>128378</v>
          </cell>
          <cell r="S57">
            <v>131933</v>
          </cell>
          <cell r="T57">
            <v>68935.199999999997</v>
          </cell>
          <cell r="U57">
            <v>112637</v>
          </cell>
        </row>
        <row r="58">
          <cell r="B58" t="str">
            <v>*270</v>
          </cell>
          <cell r="C58" t="str">
            <v>Employer SIMPLE-IRA Match</v>
          </cell>
          <cell r="D58">
            <v>3456.3487499999997</v>
          </cell>
          <cell r="E58">
            <v>3456.3487499999997</v>
          </cell>
          <cell r="F58">
            <v>3456.3487499999997</v>
          </cell>
          <cell r="G58">
            <v>3456.3487499999997</v>
          </cell>
          <cell r="H58">
            <v>3456.3487499999997</v>
          </cell>
          <cell r="I58">
            <v>3456.3487499999997</v>
          </cell>
          <cell r="J58">
            <v>3456.3487499999997</v>
          </cell>
          <cell r="K58">
            <v>3456.3487499999997</v>
          </cell>
          <cell r="L58">
            <v>3456.3487499999997</v>
          </cell>
          <cell r="M58">
            <v>3456.3487499999997</v>
          </cell>
          <cell r="N58">
            <v>3456.3487499999997</v>
          </cell>
          <cell r="O58">
            <v>-17098.467083333333</v>
          </cell>
          <cell r="P58">
            <v>20922</v>
          </cell>
          <cell r="S58">
            <v>41611</v>
          </cell>
          <cell r="T58">
            <v>10388.549999999999</v>
          </cell>
          <cell r="U58">
            <v>30593</v>
          </cell>
        </row>
        <row r="59">
          <cell r="B59">
            <v>5215</v>
          </cell>
          <cell r="C59" t="str">
            <v>First Aid &amp; Safety Training</v>
          </cell>
          <cell r="D59">
            <v>50</v>
          </cell>
          <cell r="E59">
            <v>50</v>
          </cell>
          <cell r="F59">
            <v>50</v>
          </cell>
          <cell r="G59">
            <v>50</v>
          </cell>
          <cell r="H59">
            <v>50</v>
          </cell>
          <cell r="I59">
            <v>50</v>
          </cell>
          <cell r="J59">
            <v>50</v>
          </cell>
          <cell r="K59">
            <v>50</v>
          </cell>
          <cell r="L59">
            <v>50</v>
          </cell>
          <cell r="M59">
            <v>50</v>
          </cell>
          <cell r="N59">
            <v>50</v>
          </cell>
          <cell r="O59">
            <v>50</v>
          </cell>
          <cell r="P59">
            <v>600</v>
          </cell>
          <cell r="S59">
            <v>600</v>
          </cell>
          <cell r="T59">
            <v>463.61</v>
          </cell>
          <cell r="U59">
            <v>0</v>
          </cell>
        </row>
        <row r="60">
          <cell r="B60">
            <v>8300</v>
          </cell>
          <cell r="C60" t="str">
            <v>Fundraising Expense</v>
          </cell>
          <cell r="D60">
            <v>1000</v>
          </cell>
          <cell r="E60">
            <v>325</v>
          </cell>
          <cell r="F60">
            <v>200</v>
          </cell>
          <cell r="G60">
            <v>1850</v>
          </cell>
          <cell r="H60">
            <v>495</v>
          </cell>
          <cell r="I60">
            <v>100</v>
          </cell>
          <cell r="J60">
            <v>500</v>
          </cell>
          <cell r="K60">
            <v>300</v>
          </cell>
          <cell r="L60">
            <v>325</v>
          </cell>
          <cell r="M60">
            <v>1850</v>
          </cell>
          <cell r="N60">
            <v>300</v>
          </cell>
          <cell r="O60">
            <v>11350</v>
          </cell>
          <cell r="P60">
            <v>18595</v>
          </cell>
          <cell r="S60">
            <v>18595</v>
          </cell>
          <cell r="T60">
            <v>3984.69</v>
          </cell>
          <cell r="U60">
            <v>6607</v>
          </cell>
        </row>
        <row r="61">
          <cell r="B61">
            <v>5211</v>
          </cell>
          <cell r="C61" t="str">
            <v>Homeowner Classes</v>
          </cell>
          <cell r="D61">
            <v>100</v>
          </cell>
          <cell r="E61">
            <v>100</v>
          </cell>
          <cell r="F61">
            <v>100</v>
          </cell>
          <cell r="G61">
            <v>100</v>
          </cell>
          <cell r="H61">
            <v>100</v>
          </cell>
          <cell r="I61">
            <v>100</v>
          </cell>
          <cell r="J61">
            <v>100</v>
          </cell>
          <cell r="K61">
            <v>100</v>
          </cell>
          <cell r="L61">
            <v>100</v>
          </cell>
          <cell r="M61">
            <v>100</v>
          </cell>
          <cell r="N61">
            <v>100</v>
          </cell>
          <cell r="O61">
            <v>100</v>
          </cell>
          <cell r="P61">
            <v>1200</v>
          </cell>
          <cell r="S61">
            <v>1200</v>
          </cell>
          <cell r="T61">
            <v>78.45</v>
          </cell>
          <cell r="U61">
            <v>875</v>
          </cell>
        </row>
        <row r="62">
          <cell r="B62">
            <v>5410</v>
          </cell>
          <cell r="C62" t="str">
            <v>Interest</v>
          </cell>
          <cell r="D62">
            <v>2803.16</v>
          </cell>
          <cell r="E62">
            <v>2878.48</v>
          </cell>
          <cell r="F62">
            <v>2860.65</v>
          </cell>
          <cell r="G62">
            <v>2751.05</v>
          </cell>
          <cell r="H62">
            <v>2824.43</v>
          </cell>
          <cell r="I62">
            <v>2715.86</v>
          </cell>
          <cell r="J62">
            <v>2787.93</v>
          </cell>
          <cell r="K62">
            <v>2769.75</v>
          </cell>
          <cell r="L62">
            <v>2573.98</v>
          </cell>
          <cell r="M62">
            <v>2732.49</v>
          </cell>
          <cell r="N62">
            <v>2626.54</v>
          </cell>
          <cell r="O62">
            <v>2695.29</v>
          </cell>
          <cell r="P62">
            <v>33020</v>
          </cell>
          <cell r="S62">
            <v>33020</v>
          </cell>
          <cell r="T62">
            <v>26757.78</v>
          </cell>
          <cell r="U62">
            <v>35460</v>
          </cell>
        </row>
        <row r="63">
          <cell r="B63">
            <v>5220</v>
          </cell>
          <cell r="C63" t="str">
            <v>International Tithe Expense</v>
          </cell>
          <cell r="D63">
            <v>0</v>
          </cell>
          <cell r="E63">
            <v>0</v>
          </cell>
          <cell r="F63">
            <v>17500</v>
          </cell>
          <cell r="G63">
            <v>0</v>
          </cell>
          <cell r="H63">
            <v>0</v>
          </cell>
          <cell r="I63">
            <v>17500</v>
          </cell>
          <cell r="J63">
            <v>0</v>
          </cell>
          <cell r="K63">
            <v>0</v>
          </cell>
          <cell r="L63">
            <v>17500</v>
          </cell>
          <cell r="M63">
            <v>0</v>
          </cell>
          <cell r="N63">
            <v>0</v>
          </cell>
          <cell r="O63">
            <v>17500</v>
          </cell>
          <cell r="P63">
            <v>70000</v>
          </cell>
          <cell r="S63">
            <v>70000</v>
          </cell>
          <cell r="T63">
            <v>48750</v>
          </cell>
          <cell r="U63">
            <v>65000</v>
          </cell>
        </row>
        <row r="64">
          <cell r="B64" t="str">
            <v>*388</v>
          </cell>
          <cell r="C64" t="str">
            <v>IT</v>
          </cell>
          <cell r="D64">
            <v>3398.99</v>
          </cell>
          <cell r="E64">
            <v>1848.99</v>
          </cell>
          <cell r="F64">
            <v>10398.99</v>
          </cell>
          <cell r="G64">
            <v>1848.99</v>
          </cell>
          <cell r="H64">
            <v>2208.94</v>
          </cell>
          <cell r="I64">
            <v>4923.49</v>
          </cell>
          <cell r="J64">
            <v>1898.99</v>
          </cell>
          <cell r="K64">
            <v>1848.99</v>
          </cell>
          <cell r="L64">
            <v>4898.99</v>
          </cell>
          <cell r="M64">
            <v>1848.99</v>
          </cell>
          <cell r="N64">
            <v>6636.99</v>
          </cell>
          <cell r="O64">
            <v>4898.99</v>
          </cell>
          <cell r="P64">
            <v>46661</v>
          </cell>
          <cell r="S64">
            <v>46661</v>
          </cell>
          <cell r="T64">
            <v>26968.59</v>
          </cell>
          <cell r="U64">
            <v>39517.9</v>
          </cell>
        </row>
        <row r="65">
          <cell r="B65" t="str">
            <v>*368</v>
          </cell>
          <cell r="C65" t="str">
            <v>Janitorial</v>
          </cell>
          <cell r="D65">
            <v>1098</v>
          </cell>
          <cell r="E65">
            <v>1048</v>
          </cell>
          <cell r="F65">
            <v>1048</v>
          </cell>
          <cell r="G65">
            <v>1048</v>
          </cell>
          <cell r="H65">
            <v>1048</v>
          </cell>
          <cell r="I65">
            <v>1048</v>
          </cell>
          <cell r="J65">
            <v>1501</v>
          </cell>
          <cell r="K65">
            <v>1048</v>
          </cell>
          <cell r="L65">
            <v>1048</v>
          </cell>
          <cell r="M65">
            <v>1048</v>
          </cell>
          <cell r="N65">
            <v>1048</v>
          </cell>
          <cell r="O65">
            <v>1048</v>
          </cell>
          <cell r="P65">
            <v>13079</v>
          </cell>
          <cell r="S65">
            <v>13079</v>
          </cell>
          <cell r="T65">
            <v>10814.039999999997</v>
          </cell>
          <cell r="U65">
            <v>17942</v>
          </cell>
        </row>
        <row r="66">
          <cell r="B66" t="str">
            <v>*320</v>
          </cell>
          <cell r="C66" t="str">
            <v>Legal Fees</v>
          </cell>
          <cell r="D66">
            <v>0</v>
          </cell>
          <cell r="E66">
            <v>325</v>
          </cell>
          <cell r="F66">
            <v>0</v>
          </cell>
          <cell r="G66">
            <v>1000</v>
          </cell>
          <cell r="H66">
            <v>0</v>
          </cell>
          <cell r="I66">
            <v>325</v>
          </cell>
          <cell r="J66">
            <v>0</v>
          </cell>
          <cell r="K66">
            <v>500</v>
          </cell>
          <cell r="L66">
            <v>0</v>
          </cell>
          <cell r="M66">
            <v>325</v>
          </cell>
          <cell r="N66">
            <v>0</v>
          </cell>
          <cell r="O66">
            <v>1000</v>
          </cell>
          <cell r="P66">
            <v>3475</v>
          </cell>
          <cell r="S66">
            <v>3475</v>
          </cell>
          <cell r="T66">
            <v>6008.25</v>
          </cell>
          <cell r="U66">
            <v>3075</v>
          </cell>
        </row>
        <row r="67">
          <cell r="B67" t="str">
            <v>*104</v>
          </cell>
          <cell r="C67" t="str">
            <v>Liability/ E&amp;O Insurance</v>
          </cell>
          <cell r="D67">
            <v>5331</v>
          </cell>
          <cell r="E67">
            <v>0</v>
          </cell>
          <cell r="F67">
            <v>5331</v>
          </cell>
          <cell r="G67">
            <v>0</v>
          </cell>
          <cell r="H67">
            <v>0</v>
          </cell>
          <cell r="I67">
            <v>5331</v>
          </cell>
          <cell r="J67">
            <v>0</v>
          </cell>
          <cell r="K67">
            <v>3850</v>
          </cell>
          <cell r="L67">
            <v>5865</v>
          </cell>
          <cell r="M67">
            <v>0</v>
          </cell>
          <cell r="N67">
            <v>0</v>
          </cell>
          <cell r="O67">
            <v>0</v>
          </cell>
          <cell r="P67">
            <v>25708</v>
          </cell>
          <cell r="S67">
            <v>25708</v>
          </cell>
          <cell r="T67">
            <v>21601.25</v>
          </cell>
          <cell r="U67">
            <v>21821</v>
          </cell>
        </row>
        <row r="68">
          <cell r="B68">
            <v>5214</v>
          </cell>
          <cell r="C68" t="str">
            <v>Loan Servicing</v>
          </cell>
          <cell r="D68">
            <v>250</v>
          </cell>
          <cell r="E68">
            <v>1049</v>
          </cell>
          <cell r="F68">
            <v>250</v>
          </cell>
          <cell r="G68">
            <v>250</v>
          </cell>
          <cell r="H68">
            <v>250</v>
          </cell>
          <cell r="I68">
            <v>250</v>
          </cell>
          <cell r="J68">
            <v>250</v>
          </cell>
          <cell r="K68">
            <v>550</v>
          </cell>
          <cell r="L68">
            <v>250</v>
          </cell>
          <cell r="M68">
            <v>250</v>
          </cell>
          <cell r="N68">
            <v>250</v>
          </cell>
          <cell r="O68">
            <v>250</v>
          </cell>
          <cell r="P68">
            <v>4099</v>
          </cell>
          <cell r="S68">
            <v>2349</v>
          </cell>
          <cell r="T68">
            <v>1149.21</v>
          </cell>
          <cell r="U68">
            <v>8210</v>
          </cell>
        </row>
        <row r="69">
          <cell r="B69" t="str">
            <v>*376</v>
          </cell>
          <cell r="C69" t="str">
            <v>Maintenance (copier)</v>
          </cell>
          <cell r="D69">
            <v>122</v>
          </cell>
          <cell r="E69">
            <v>122</v>
          </cell>
          <cell r="F69">
            <v>122</v>
          </cell>
          <cell r="G69">
            <v>122</v>
          </cell>
          <cell r="H69">
            <v>122</v>
          </cell>
          <cell r="I69">
            <v>122</v>
          </cell>
          <cell r="J69">
            <v>122</v>
          </cell>
          <cell r="K69">
            <v>122</v>
          </cell>
          <cell r="L69">
            <v>122</v>
          </cell>
          <cell r="M69">
            <v>122</v>
          </cell>
          <cell r="N69">
            <v>122</v>
          </cell>
          <cell r="O69">
            <v>122</v>
          </cell>
          <cell r="P69">
            <v>1464</v>
          </cell>
          <cell r="S69">
            <v>1464</v>
          </cell>
          <cell r="T69">
            <v>826.79</v>
          </cell>
          <cell r="U69">
            <v>900</v>
          </cell>
        </row>
        <row r="70">
          <cell r="B70" t="str">
            <v>*452</v>
          </cell>
          <cell r="C70" t="str">
            <v>Mileage &amp; Parking Expense</v>
          </cell>
          <cell r="D70">
            <v>601.66666666666674</v>
          </cell>
          <cell r="E70">
            <v>841.66666666666674</v>
          </cell>
          <cell r="F70">
            <v>631.66666666666674</v>
          </cell>
          <cell r="G70">
            <v>601.66666666666674</v>
          </cell>
          <cell r="H70">
            <v>601.66666666666674</v>
          </cell>
          <cell r="I70">
            <v>781.66666666666674</v>
          </cell>
          <cell r="J70">
            <v>751.66666666666674</v>
          </cell>
          <cell r="K70">
            <v>841.66666666666674</v>
          </cell>
          <cell r="L70">
            <v>791.66666666666674</v>
          </cell>
          <cell r="M70">
            <v>751.66666666666674</v>
          </cell>
          <cell r="N70">
            <v>261.66666666666669</v>
          </cell>
          <cell r="O70">
            <v>916.66666666666674</v>
          </cell>
          <cell r="P70">
            <v>8375</v>
          </cell>
          <cell r="R70">
            <v>0</v>
          </cell>
          <cell r="S70">
            <v>9000</v>
          </cell>
          <cell r="T70">
            <v>6602.01</v>
          </cell>
          <cell r="U70">
            <v>8685</v>
          </cell>
        </row>
        <row r="71">
          <cell r="B71">
            <v>5203</v>
          </cell>
          <cell r="C71" t="str">
            <v>Mortgage Discount Expense</v>
          </cell>
          <cell r="D71">
            <v>0</v>
          </cell>
          <cell r="E71">
            <v>0</v>
          </cell>
          <cell r="F71">
            <v>0</v>
          </cell>
          <cell r="G71">
            <v>0</v>
          </cell>
          <cell r="H71">
            <v>84179.177500000005</v>
          </cell>
          <cell r="I71">
            <v>168358.35500000001</v>
          </cell>
          <cell r="J71">
            <v>84179.177500000005</v>
          </cell>
          <cell r="K71">
            <v>0</v>
          </cell>
          <cell r="L71">
            <v>0</v>
          </cell>
          <cell r="M71">
            <v>0</v>
          </cell>
          <cell r="N71">
            <v>0</v>
          </cell>
          <cell r="O71">
            <v>103283.28750000001</v>
          </cell>
          <cell r="P71">
            <v>440000</v>
          </cell>
          <cell r="R71">
            <v>0</v>
          </cell>
          <cell r="S71">
            <v>440000</v>
          </cell>
          <cell r="T71">
            <v>336716.71</v>
          </cell>
          <cell r="U71">
            <v>600000</v>
          </cell>
        </row>
        <row r="72">
          <cell r="B72" t="str">
            <v>*362</v>
          </cell>
          <cell r="C72" t="str">
            <v>Office Rent</v>
          </cell>
          <cell r="D72">
            <v>1901.9</v>
          </cell>
          <cell r="E72">
            <v>1901.9</v>
          </cell>
          <cell r="F72">
            <v>1901.9</v>
          </cell>
          <cell r="G72">
            <v>1901.9</v>
          </cell>
          <cell r="H72">
            <v>1901.9</v>
          </cell>
          <cell r="I72">
            <v>1901.9</v>
          </cell>
          <cell r="J72">
            <v>1901.9</v>
          </cell>
          <cell r="K72">
            <v>1901.9</v>
          </cell>
          <cell r="L72">
            <v>1901.9</v>
          </cell>
          <cell r="M72">
            <v>1901.9</v>
          </cell>
          <cell r="N72">
            <v>1901.9</v>
          </cell>
          <cell r="O72">
            <v>1901.9</v>
          </cell>
          <cell r="P72">
            <v>22823</v>
          </cell>
          <cell r="S72">
            <v>22823</v>
          </cell>
          <cell r="T72">
            <v>17100</v>
          </cell>
          <cell r="U72">
            <v>22800</v>
          </cell>
        </row>
        <row r="73">
          <cell r="B73" t="str">
            <v>*332</v>
          </cell>
          <cell r="C73" t="str">
            <v>Office Supplies</v>
          </cell>
          <cell r="D73">
            <v>1770.3333333333333</v>
          </cell>
          <cell r="E73">
            <v>608.33333333333326</v>
          </cell>
          <cell r="F73">
            <v>383.33333333333331</v>
          </cell>
          <cell r="G73">
            <v>920.33333333333326</v>
          </cell>
          <cell r="H73">
            <v>383.33333333333331</v>
          </cell>
          <cell r="I73">
            <v>967.33333333333326</v>
          </cell>
          <cell r="J73">
            <v>920.33333333333326</v>
          </cell>
          <cell r="K73">
            <v>383.33333333333331</v>
          </cell>
          <cell r="L73">
            <v>383.33333333333331</v>
          </cell>
          <cell r="M73">
            <v>920.33333333333326</v>
          </cell>
          <cell r="N73">
            <v>-616.66666666666674</v>
          </cell>
          <cell r="O73">
            <v>695.33333333333326</v>
          </cell>
          <cell r="P73">
            <v>7719</v>
          </cell>
          <cell r="R73">
            <v>0</v>
          </cell>
          <cell r="S73">
            <v>7019</v>
          </cell>
          <cell r="T73">
            <v>6720.29</v>
          </cell>
          <cell r="U73">
            <v>9335</v>
          </cell>
        </row>
        <row r="74">
          <cell r="B74" t="str">
            <v>5375-1</v>
          </cell>
          <cell r="C74" t="str">
            <v>Office Trailer -Expense/Repairs</v>
          </cell>
          <cell r="D74">
            <v>0</v>
          </cell>
          <cell r="E74">
            <v>0</v>
          </cell>
          <cell r="F74">
            <v>0</v>
          </cell>
          <cell r="G74">
            <v>0</v>
          </cell>
          <cell r="H74">
            <v>0</v>
          </cell>
          <cell r="I74">
            <v>500</v>
          </cell>
          <cell r="J74">
            <v>0</v>
          </cell>
          <cell r="K74">
            <v>0</v>
          </cell>
          <cell r="L74">
            <v>0</v>
          </cell>
          <cell r="M74">
            <v>0</v>
          </cell>
          <cell r="N74">
            <v>0</v>
          </cell>
          <cell r="O74">
            <v>500</v>
          </cell>
          <cell r="P74">
            <v>1000</v>
          </cell>
          <cell r="R74">
            <v>0</v>
          </cell>
          <cell r="S74">
            <v>1000</v>
          </cell>
          <cell r="T74">
            <v>993.25</v>
          </cell>
          <cell r="U74">
            <v>800</v>
          </cell>
        </row>
        <row r="75">
          <cell r="B75">
            <v>5106</v>
          </cell>
          <cell r="C75" t="str">
            <v>Operating Supplies and Tools</v>
          </cell>
          <cell r="D75">
            <v>416.66666666666669</v>
          </cell>
          <cell r="E75">
            <v>416.66666666666669</v>
          </cell>
          <cell r="F75">
            <v>416.66666666666669</v>
          </cell>
          <cell r="G75">
            <v>416.66666666666669</v>
          </cell>
          <cell r="H75">
            <v>416.66666666666669</v>
          </cell>
          <cell r="I75">
            <v>416.66666666666669</v>
          </cell>
          <cell r="J75">
            <v>416.66666666666669</v>
          </cell>
          <cell r="K75">
            <v>416.66666666666669</v>
          </cell>
          <cell r="L75">
            <v>416.66666666666669</v>
          </cell>
          <cell r="M75">
            <v>416.66666666666669</v>
          </cell>
          <cell r="N75">
            <v>416.66666666666669</v>
          </cell>
          <cell r="O75">
            <v>416.66666666666669</v>
          </cell>
          <cell r="P75">
            <v>5000</v>
          </cell>
          <cell r="R75">
            <v>0</v>
          </cell>
          <cell r="S75">
            <v>5000</v>
          </cell>
          <cell r="T75">
            <v>3764.79</v>
          </cell>
          <cell r="U75">
            <v>5000</v>
          </cell>
        </row>
        <row r="76">
          <cell r="B76" t="str">
            <v>*280</v>
          </cell>
          <cell r="C76" t="str">
            <v>Other Employee Benefits</v>
          </cell>
          <cell r="D76">
            <v>14993.173333333332</v>
          </cell>
          <cell r="E76">
            <v>14993.173333333332</v>
          </cell>
          <cell r="F76">
            <v>14993.173333333332</v>
          </cell>
          <cell r="G76">
            <v>14993.173333333332</v>
          </cell>
          <cell r="H76">
            <v>14993.173333333332</v>
          </cell>
          <cell r="I76">
            <v>14993.173333333332</v>
          </cell>
          <cell r="J76">
            <v>14993.173333333332</v>
          </cell>
          <cell r="K76">
            <v>14993.173333333332</v>
          </cell>
          <cell r="L76">
            <v>14993.173333333332</v>
          </cell>
          <cell r="M76">
            <v>14993.173333333332</v>
          </cell>
          <cell r="N76">
            <v>14993.173333333332</v>
          </cell>
          <cell r="O76">
            <v>14993.173333333332</v>
          </cell>
          <cell r="P76">
            <v>179919</v>
          </cell>
          <cell r="S76">
            <v>190682</v>
          </cell>
          <cell r="T76">
            <v>83889.3</v>
          </cell>
          <cell r="U76">
            <v>157145</v>
          </cell>
        </row>
        <row r="77">
          <cell r="B77" t="str">
            <v>*335</v>
          </cell>
          <cell r="C77" t="str">
            <v>Payroll processing  fee</v>
          </cell>
          <cell r="D77">
            <v>640.91666666666674</v>
          </cell>
          <cell r="E77">
            <v>465.91666666666669</v>
          </cell>
          <cell r="F77">
            <v>465.91666666666669</v>
          </cell>
          <cell r="G77">
            <v>465.91666666666669</v>
          </cell>
          <cell r="H77">
            <v>465.91666666666669</v>
          </cell>
          <cell r="I77">
            <v>589.91666666666674</v>
          </cell>
          <cell r="J77">
            <v>465.91666666666669</v>
          </cell>
          <cell r="K77">
            <v>465.91666666666669</v>
          </cell>
          <cell r="L77">
            <v>465.91666666666669</v>
          </cell>
          <cell r="M77">
            <v>465.91666666666669</v>
          </cell>
          <cell r="N77">
            <v>-34.083333333333314</v>
          </cell>
          <cell r="O77">
            <v>475.91666666666669</v>
          </cell>
          <cell r="P77">
            <v>5400</v>
          </cell>
          <cell r="S77">
            <v>2990</v>
          </cell>
          <cell r="T77">
            <v>3924.3999999999996</v>
          </cell>
          <cell r="U77">
            <v>5732.0599999999995</v>
          </cell>
        </row>
        <row r="78">
          <cell r="B78">
            <v>5110</v>
          </cell>
          <cell r="C78" t="str">
            <v>Plan Development</v>
          </cell>
          <cell r="D78">
            <v>0</v>
          </cell>
          <cell r="E78">
            <v>0</v>
          </cell>
          <cell r="F78">
            <v>0</v>
          </cell>
          <cell r="G78">
            <v>0</v>
          </cell>
          <cell r="H78">
            <v>0</v>
          </cell>
          <cell r="I78">
            <v>0</v>
          </cell>
          <cell r="J78">
            <v>0</v>
          </cell>
          <cell r="K78">
            <v>0</v>
          </cell>
          <cell r="L78">
            <v>0</v>
          </cell>
          <cell r="M78">
            <v>0</v>
          </cell>
          <cell r="N78">
            <v>0</v>
          </cell>
          <cell r="O78">
            <v>0</v>
          </cell>
          <cell r="P78">
            <v>0</v>
          </cell>
          <cell r="R78">
            <v>0</v>
          </cell>
          <cell r="S78">
            <v>0</v>
          </cell>
          <cell r="T78">
            <v>625.83000000000004</v>
          </cell>
          <cell r="U78">
            <v>1500</v>
          </cell>
        </row>
        <row r="79">
          <cell r="B79" t="str">
            <v>*350</v>
          </cell>
          <cell r="C79" t="str">
            <v>Postage and Shipping</v>
          </cell>
          <cell r="D79">
            <v>240</v>
          </cell>
          <cell r="E79">
            <v>135</v>
          </cell>
          <cell r="F79">
            <v>223.33333333333334</v>
          </cell>
          <cell r="G79">
            <v>185</v>
          </cell>
          <cell r="H79">
            <v>1375</v>
          </cell>
          <cell r="I79">
            <v>135</v>
          </cell>
          <cell r="J79">
            <v>838.33333333333337</v>
          </cell>
          <cell r="K79">
            <v>135</v>
          </cell>
          <cell r="L79">
            <v>190</v>
          </cell>
          <cell r="M79">
            <v>185</v>
          </cell>
          <cell r="N79">
            <v>223.33333333333334</v>
          </cell>
          <cell r="O79">
            <v>135</v>
          </cell>
          <cell r="P79">
            <v>4000</v>
          </cell>
          <cell r="R79">
            <v>0</v>
          </cell>
          <cell r="S79">
            <v>3775</v>
          </cell>
          <cell r="T79">
            <v>3927.8700000000003</v>
          </cell>
          <cell r="U79">
            <v>4330</v>
          </cell>
        </row>
        <row r="80">
          <cell r="B80" t="str">
            <v>*380</v>
          </cell>
          <cell r="C80" t="str">
            <v>Printing and Publications</v>
          </cell>
          <cell r="D80">
            <v>1465</v>
          </cell>
          <cell r="E80">
            <v>75</v>
          </cell>
          <cell r="F80">
            <v>3925</v>
          </cell>
          <cell r="G80">
            <v>655</v>
          </cell>
          <cell r="H80">
            <v>1875</v>
          </cell>
          <cell r="I80">
            <v>4175</v>
          </cell>
          <cell r="J80">
            <v>2555</v>
          </cell>
          <cell r="K80">
            <v>175</v>
          </cell>
          <cell r="L80">
            <v>3925</v>
          </cell>
          <cell r="M80">
            <v>655</v>
          </cell>
          <cell r="N80">
            <v>175</v>
          </cell>
          <cell r="O80">
            <v>4225</v>
          </cell>
          <cell r="P80">
            <v>23880</v>
          </cell>
          <cell r="S80">
            <v>23880</v>
          </cell>
          <cell r="T80">
            <v>10318.57</v>
          </cell>
          <cell r="U80">
            <v>35000</v>
          </cell>
        </row>
        <row r="81">
          <cell r="B81">
            <v>5209</v>
          </cell>
          <cell r="C81" t="str">
            <v>Professional Licenses</v>
          </cell>
          <cell r="D81">
            <v>0</v>
          </cell>
          <cell r="E81">
            <v>800</v>
          </cell>
          <cell r="F81">
            <v>165</v>
          </cell>
          <cell r="G81">
            <v>0</v>
          </cell>
          <cell r="H81">
            <v>45</v>
          </cell>
          <cell r="I81">
            <v>0</v>
          </cell>
          <cell r="J81">
            <v>0</v>
          </cell>
          <cell r="K81">
            <v>0</v>
          </cell>
          <cell r="L81">
            <v>0</v>
          </cell>
          <cell r="M81">
            <v>0</v>
          </cell>
          <cell r="N81">
            <v>0</v>
          </cell>
          <cell r="O81">
            <v>0</v>
          </cell>
          <cell r="P81">
            <v>1010</v>
          </cell>
          <cell r="S81">
            <v>1010</v>
          </cell>
          <cell r="T81">
            <v>71.75</v>
          </cell>
          <cell r="U81">
            <v>345</v>
          </cell>
        </row>
        <row r="82">
          <cell r="B82">
            <v>8440</v>
          </cell>
          <cell r="C82" t="str">
            <v>Promotional Expense</v>
          </cell>
          <cell r="D82">
            <v>5899</v>
          </cell>
          <cell r="E82">
            <v>594</v>
          </cell>
          <cell r="F82">
            <v>2099</v>
          </cell>
          <cell r="G82">
            <v>99</v>
          </cell>
          <cell r="H82">
            <v>599</v>
          </cell>
          <cell r="I82">
            <v>599</v>
          </cell>
          <cell r="J82">
            <v>2099</v>
          </cell>
          <cell r="K82">
            <v>2599</v>
          </cell>
          <cell r="L82">
            <v>749</v>
          </cell>
          <cell r="M82">
            <v>599</v>
          </cell>
          <cell r="N82">
            <v>1299</v>
          </cell>
          <cell r="O82">
            <v>849</v>
          </cell>
          <cell r="P82">
            <v>18083</v>
          </cell>
          <cell r="S82">
            <v>18083</v>
          </cell>
          <cell r="T82">
            <v>1593.21</v>
          </cell>
          <cell r="U82">
            <v>9028</v>
          </cell>
        </row>
        <row r="83">
          <cell r="B83">
            <v>5202</v>
          </cell>
          <cell r="C83" t="str">
            <v>Property Tax</v>
          </cell>
          <cell r="D83">
            <v>0</v>
          </cell>
          <cell r="E83">
            <v>0</v>
          </cell>
          <cell r="F83">
            <v>0</v>
          </cell>
          <cell r="G83">
            <v>0</v>
          </cell>
          <cell r="H83">
            <v>0</v>
          </cell>
          <cell r="I83">
            <v>0</v>
          </cell>
          <cell r="J83">
            <v>0</v>
          </cell>
          <cell r="K83">
            <v>0</v>
          </cell>
          <cell r="L83">
            <v>0</v>
          </cell>
          <cell r="M83">
            <v>75</v>
          </cell>
          <cell r="N83">
            <v>0</v>
          </cell>
          <cell r="O83">
            <v>0</v>
          </cell>
          <cell r="P83">
            <v>75</v>
          </cell>
          <cell r="S83">
            <v>75</v>
          </cell>
          <cell r="T83">
            <v>0</v>
          </cell>
          <cell r="U83">
            <v>75</v>
          </cell>
        </row>
        <row r="84">
          <cell r="B84">
            <v>5291</v>
          </cell>
          <cell r="C84" t="str">
            <v>Recruitment</v>
          </cell>
          <cell r="D84">
            <v>0</v>
          </cell>
          <cell r="E84">
            <v>0</v>
          </cell>
          <cell r="F84">
            <v>0</v>
          </cell>
          <cell r="G84">
            <v>0</v>
          </cell>
          <cell r="H84">
            <v>0</v>
          </cell>
          <cell r="I84">
            <v>150</v>
          </cell>
          <cell r="J84">
            <v>0</v>
          </cell>
          <cell r="K84">
            <v>0</v>
          </cell>
          <cell r="L84">
            <v>0</v>
          </cell>
          <cell r="M84">
            <v>0</v>
          </cell>
          <cell r="N84">
            <v>0</v>
          </cell>
          <cell r="O84">
            <v>0</v>
          </cell>
          <cell r="P84">
            <v>150</v>
          </cell>
          <cell r="S84">
            <v>150</v>
          </cell>
          <cell r="T84">
            <v>210</v>
          </cell>
          <cell r="U84">
            <v>150</v>
          </cell>
        </row>
        <row r="85">
          <cell r="B85">
            <v>5367</v>
          </cell>
          <cell r="C85" t="str">
            <v>Security</v>
          </cell>
          <cell r="D85">
            <v>176</v>
          </cell>
          <cell r="E85">
            <v>2926</v>
          </cell>
          <cell r="F85">
            <v>176</v>
          </cell>
          <cell r="G85">
            <v>176</v>
          </cell>
          <cell r="H85">
            <v>2926</v>
          </cell>
          <cell r="I85">
            <v>176</v>
          </cell>
          <cell r="J85">
            <v>176</v>
          </cell>
          <cell r="K85">
            <v>2926</v>
          </cell>
          <cell r="L85">
            <v>176</v>
          </cell>
          <cell r="M85">
            <v>176</v>
          </cell>
          <cell r="N85">
            <v>2926</v>
          </cell>
          <cell r="O85">
            <v>176</v>
          </cell>
          <cell r="P85">
            <v>13112</v>
          </cell>
          <cell r="S85">
            <v>13112</v>
          </cell>
          <cell r="T85">
            <v>11878.62</v>
          </cell>
          <cell r="U85">
            <v>12750</v>
          </cell>
        </row>
        <row r="86">
          <cell r="B86" t="str">
            <v>*355</v>
          </cell>
          <cell r="C86" t="str">
            <v>Staff Appreciation</v>
          </cell>
          <cell r="D86">
            <v>500</v>
          </cell>
          <cell r="E86">
            <v>500</v>
          </cell>
          <cell r="F86">
            <v>500</v>
          </cell>
          <cell r="G86">
            <v>500</v>
          </cell>
          <cell r="H86">
            <v>500</v>
          </cell>
          <cell r="I86">
            <v>500</v>
          </cell>
          <cell r="J86">
            <v>500</v>
          </cell>
          <cell r="K86">
            <v>500</v>
          </cell>
          <cell r="L86">
            <v>500</v>
          </cell>
          <cell r="M86">
            <v>500</v>
          </cell>
          <cell r="N86">
            <v>500</v>
          </cell>
          <cell r="O86">
            <v>500</v>
          </cell>
          <cell r="P86">
            <v>6000</v>
          </cell>
          <cell r="R86">
            <v>0</v>
          </cell>
          <cell r="S86">
            <v>5000</v>
          </cell>
          <cell r="T86">
            <v>5073.32</v>
          </cell>
          <cell r="U86">
            <v>8000</v>
          </cell>
        </row>
        <row r="87">
          <cell r="B87">
            <v>5114</v>
          </cell>
          <cell r="C87" t="str">
            <v>Storage</v>
          </cell>
          <cell r="D87">
            <v>100</v>
          </cell>
          <cell r="E87">
            <v>100</v>
          </cell>
          <cell r="F87">
            <v>100</v>
          </cell>
          <cell r="G87">
            <v>100</v>
          </cell>
          <cell r="H87">
            <v>100</v>
          </cell>
          <cell r="I87">
            <v>100</v>
          </cell>
          <cell r="J87">
            <v>100</v>
          </cell>
          <cell r="K87">
            <v>100</v>
          </cell>
          <cell r="L87">
            <v>100</v>
          </cell>
          <cell r="M87">
            <v>100</v>
          </cell>
          <cell r="N87">
            <v>100</v>
          </cell>
          <cell r="O87">
            <v>100</v>
          </cell>
          <cell r="P87">
            <v>1200</v>
          </cell>
          <cell r="S87">
            <v>1200</v>
          </cell>
          <cell r="T87">
            <v>900</v>
          </cell>
          <cell r="U87">
            <v>1200</v>
          </cell>
        </row>
        <row r="88">
          <cell r="B88" t="str">
            <v>*340</v>
          </cell>
          <cell r="C88" t="str">
            <v>Telephone and Internet</v>
          </cell>
          <cell r="D88">
            <v>2006</v>
          </cell>
          <cell r="E88">
            <v>2006</v>
          </cell>
          <cell r="F88">
            <v>2006</v>
          </cell>
          <cell r="G88">
            <v>2006</v>
          </cell>
          <cell r="H88">
            <v>2006</v>
          </cell>
          <cell r="I88">
            <v>2006</v>
          </cell>
          <cell r="J88">
            <v>2006</v>
          </cell>
          <cell r="K88">
            <v>2006</v>
          </cell>
          <cell r="L88">
            <v>2006</v>
          </cell>
          <cell r="M88">
            <v>2006</v>
          </cell>
          <cell r="N88">
            <v>1006</v>
          </cell>
          <cell r="O88">
            <v>2006</v>
          </cell>
          <cell r="P88">
            <v>23072</v>
          </cell>
          <cell r="S88">
            <v>26052</v>
          </cell>
          <cell r="T88">
            <v>17412.100000000002</v>
          </cell>
          <cell r="U88">
            <v>23296</v>
          </cell>
        </row>
        <row r="89">
          <cell r="B89">
            <v>8285</v>
          </cell>
          <cell r="C89" t="str">
            <v>Temporary Contract Staff</v>
          </cell>
          <cell r="D89">
            <v>700</v>
          </cell>
          <cell r="E89">
            <v>700</v>
          </cell>
          <cell r="F89">
            <v>700</v>
          </cell>
          <cell r="G89">
            <v>700</v>
          </cell>
          <cell r="H89">
            <v>700</v>
          </cell>
          <cell r="I89">
            <v>700</v>
          </cell>
          <cell r="J89">
            <v>700</v>
          </cell>
          <cell r="K89">
            <v>700</v>
          </cell>
          <cell r="L89">
            <v>700</v>
          </cell>
          <cell r="M89">
            <v>700</v>
          </cell>
          <cell r="N89">
            <v>700</v>
          </cell>
          <cell r="O89">
            <v>700</v>
          </cell>
          <cell r="P89">
            <v>8400</v>
          </cell>
          <cell r="S89">
            <v>8400</v>
          </cell>
          <cell r="T89">
            <v>4917.5</v>
          </cell>
          <cell r="U89">
            <v>11520</v>
          </cell>
        </row>
        <row r="90">
          <cell r="B90">
            <v>5363</v>
          </cell>
          <cell r="C90" t="str">
            <v>Trash Removal</v>
          </cell>
          <cell r="D90">
            <v>1500</v>
          </cell>
          <cell r="E90">
            <v>1500</v>
          </cell>
          <cell r="F90">
            <v>1500</v>
          </cell>
          <cell r="G90">
            <v>1500</v>
          </cell>
          <cell r="H90">
            <v>1300</v>
          </cell>
          <cell r="I90">
            <v>1300</v>
          </cell>
          <cell r="J90">
            <v>1500</v>
          </cell>
          <cell r="K90">
            <v>1500</v>
          </cell>
          <cell r="L90">
            <v>1500</v>
          </cell>
          <cell r="M90">
            <v>1500</v>
          </cell>
          <cell r="N90">
            <v>1500</v>
          </cell>
          <cell r="O90">
            <v>1500</v>
          </cell>
          <cell r="P90">
            <v>17600</v>
          </cell>
          <cell r="S90">
            <v>17600</v>
          </cell>
          <cell r="T90">
            <v>13182</v>
          </cell>
          <cell r="U90">
            <v>15000</v>
          </cell>
        </row>
        <row r="91">
          <cell r="B91">
            <v>5356</v>
          </cell>
          <cell r="C91" t="str">
            <v>Uniforms</v>
          </cell>
          <cell r="D91">
            <v>200</v>
          </cell>
          <cell r="E91">
            <v>0</v>
          </cell>
          <cell r="F91">
            <v>0</v>
          </cell>
          <cell r="G91">
            <v>0</v>
          </cell>
          <cell r="H91">
            <v>0</v>
          </cell>
          <cell r="I91">
            <v>0</v>
          </cell>
          <cell r="J91">
            <v>0</v>
          </cell>
          <cell r="K91">
            <v>0</v>
          </cell>
          <cell r="L91">
            <v>0</v>
          </cell>
          <cell r="M91">
            <v>0</v>
          </cell>
          <cell r="N91">
            <v>0</v>
          </cell>
          <cell r="O91">
            <v>0</v>
          </cell>
          <cell r="P91">
            <v>200</v>
          </cell>
          <cell r="S91">
            <v>200</v>
          </cell>
          <cell r="T91">
            <v>112.92</v>
          </cell>
          <cell r="U91">
            <v>1750</v>
          </cell>
        </row>
        <row r="92">
          <cell r="B92" t="str">
            <v>*364</v>
          </cell>
          <cell r="C92" t="str">
            <v>Utilities</v>
          </cell>
          <cell r="D92">
            <v>2370</v>
          </cell>
          <cell r="E92">
            <v>2370</v>
          </cell>
          <cell r="F92">
            <v>2370</v>
          </cell>
          <cell r="G92">
            <v>2370</v>
          </cell>
          <cell r="H92">
            <v>2370</v>
          </cell>
          <cell r="I92">
            <v>2370</v>
          </cell>
          <cell r="J92">
            <v>2370</v>
          </cell>
          <cell r="K92">
            <v>2370</v>
          </cell>
          <cell r="L92">
            <v>2370</v>
          </cell>
          <cell r="M92">
            <v>2370</v>
          </cell>
          <cell r="N92">
            <v>2370</v>
          </cell>
          <cell r="O92">
            <v>2370</v>
          </cell>
          <cell r="P92">
            <v>28440</v>
          </cell>
          <cell r="S92">
            <v>28440</v>
          </cell>
          <cell r="T92">
            <v>21281.760000000002</v>
          </cell>
          <cell r="U92">
            <v>25450</v>
          </cell>
        </row>
        <row r="93">
          <cell r="B93" t="str">
            <v>5371-D</v>
          </cell>
          <cell r="C93" t="str">
            <v>Vehicle - Expense/Repairs</v>
          </cell>
          <cell r="D93">
            <v>833.33333333333337</v>
          </cell>
          <cell r="E93">
            <v>1033.3333333333335</v>
          </cell>
          <cell r="F93">
            <v>833.33333333333337</v>
          </cell>
          <cell r="G93">
            <v>1033.3333333333335</v>
          </cell>
          <cell r="H93">
            <v>833.33333333333337</v>
          </cell>
          <cell r="I93">
            <v>1033.3333333333335</v>
          </cell>
          <cell r="J93">
            <v>833.33333333333337</v>
          </cell>
          <cell r="K93">
            <v>1033.3333333333335</v>
          </cell>
          <cell r="L93">
            <v>833.33333333333337</v>
          </cell>
          <cell r="M93">
            <v>1033.3333333333335</v>
          </cell>
          <cell r="N93">
            <v>833.33333333333337</v>
          </cell>
          <cell r="O93">
            <v>833.33333333333337</v>
          </cell>
          <cell r="P93">
            <v>11000</v>
          </cell>
          <cell r="S93">
            <v>10000</v>
          </cell>
          <cell r="T93">
            <v>14532.35</v>
          </cell>
          <cell r="U93">
            <v>10225</v>
          </cell>
        </row>
        <row r="94">
          <cell r="B94" t="str">
            <v>5371-C</v>
          </cell>
          <cell r="C94" t="str">
            <v>Vehicle - Fuel/Propane</v>
          </cell>
          <cell r="D94">
            <v>1362.5</v>
          </cell>
          <cell r="E94">
            <v>1362.5</v>
          </cell>
          <cell r="F94">
            <v>1362.5</v>
          </cell>
          <cell r="G94">
            <v>1362.5</v>
          </cell>
          <cell r="H94">
            <v>1362.5</v>
          </cell>
          <cell r="I94">
            <v>1362.5</v>
          </cell>
          <cell r="J94">
            <v>1362.5</v>
          </cell>
          <cell r="K94">
            <v>1362.5</v>
          </cell>
          <cell r="L94">
            <v>1362.5</v>
          </cell>
          <cell r="M94">
            <v>1362.5</v>
          </cell>
          <cell r="N94">
            <v>362.49999999999994</v>
          </cell>
          <cell r="O94">
            <v>1362.5</v>
          </cell>
          <cell r="P94">
            <v>15350</v>
          </cell>
          <cell r="S94">
            <v>15250</v>
          </cell>
          <cell r="T94">
            <v>12091.29</v>
          </cell>
          <cell r="U94">
            <v>14364</v>
          </cell>
        </row>
        <row r="95">
          <cell r="B95" t="str">
            <v>5371-B</v>
          </cell>
          <cell r="C95" t="str">
            <v>Vehicle - Insurance</v>
          </cell>
          <cell r="D95">
            <v>2671.25</v>
          </cell>
          <cell r="E95">
            <v>0</v>
          </cell>
          <cell r="F95">
            <v>2671.25</v>
          </cell>
          <cell r="G95">
            <v>0</v>
          </cell>
          <cell r="H95">
            <v>0</v>
          </cell>
          <cell r="I95">
            <v>2671.25</v>
          </cell>
          <cell r="J95">
            <v>0</v>
          </cell>
          <cell r="K95">
            <v>0</v>
          </cell>
          <cell r="L95">
            <v>1938.3750000000002</v>
          </cell>
          <cell r="M95">
            <v>0</v>
          </cell>
          <cell r="N95">
            <v>0</v>
          </cell>
          <cell r="O95">
            <v>0</v>
          </cell>
          <cell r="P95">
            <v>9953</v>
          </cell>
          <cell r="S95">
            <v>10953</v>
          </cell>
          <cell r="T95">
            <v>7584.75</v>
          </cell>
          <cell r="U95">
            <v>8515</v>
          </cell>
        </row>
        <row r="96">
          <cell r="B96" t="str">
            <v>5371-A</v>
          </cell>
          <cell r="C96" t="str">
            <v>Vehicle - Tax/Lic</v>
          </cell>
          <cell r="D96">
            <v>132</v>
          </cell>
          <cell r="E96">
            <v>210</v>
          </cell>
          <cell r="F96">
            <v>0</v>
          </cell>
          <cell r="G96">
            <v>0</v>
          </cell>
          <cell r="H96">
            <v>569</v>
          </cell>
          <cell r="I96">
            <v>0</v>
          </cell>
          <cell r="J96">
            <v>0</v>
          </cell>
          <cell r="K96">
            <v>175</v>
          </cell>
          <cell r="L96">
            <v>0</v>
          </cell>
          <cell r="M96">
            <v>0</v>
          </cell>
          <cell r="N96">
            <v>250</v>
          </cell>
          <cell r="O96">
            <v>0</v>
          </cell>
          <cell r="P96">
            <v>1336</v>
          </cell>
          <cell r="S96">
            <v>1336</v>
          </cell>
          <cell r="T96">
            <v>1123.79</v>
          </cell>
          <cell r="U96">
            <v>740</v>
          </cell>
        </row>
        <row r="97">
          <cell r="B97" t="str">
            <v>5371-F</v>
          </cell>
          <cell r="C97" t="str">
            <v>Vehicle Lease</v>
          </cell>
          <cell r="D97">
            <v>886.28</v>
          </cell>
          <cell r="E97">
            <v>886.28</v>
          </cell>
          <cell r="F97">
            <v>886.28</v>
          </cell>
          <cell r="G97">
            <v>886.28</v>
          </cell>
          <cell r="H97">
            <v>886.28</v>
          </cell>
          <cell r="I97">
            <v>886.28</v>
          </cell>
          <cell r="J97">
            <v>886.28</v>
          </cell>
          <cell r="K97">
            <v>886.28</v>
          </cell>
          <cell r="L97">
            <v>886.28</v>
          </cell>
          <cell r="M97">
            <v>886.28</v>
          </cell>
          <cell r="N97">
            <v>886.28</v>
          </cell>
          <cell r="O97">
            <v>886.28</v>
          </cell>
          <cell r="P97">
            <v>10636</v>
          </cell>
          <cell r="S97">
            <v>10636</v>
          </cell>
          <cell r="T97">
            <v>8862.7999999999993</v>
          </cell>
          <cell r="U97">
            <v>10636</v>
          </cell>
        </row>
        <row r="98">
          <cell r="B98">
            <v>5373</v>
          </cell>
          <cell r="C98" t="str">
            <v>Vehicle/Equipment Rental</v>
          </cell>
          <cell r="D98">
            <v>666.66666666666663</v>
          </cell>
          <cell r="E98">
            <v>666.66666666666663</v>
          </cell>
          <cell r="F98">
            <v>666.66666666666663</v>
          </cell>
          <cell r="G98">
            <v>666.66666666666663</v>
          </cell>
          <cell r="H98">
            <v>666.66666666666663</v>
          </cell>
          <cell r="I98">
            <v>666.66666666666663</v>
          </cell>
          <cell r="J98">
            <v>666.66666666666663</v>
          </cell>
          <cell r="K98">
            <v>666.66666666666663</v>
          </cell>
          <cell r="L98">
            <v>666.66666666666663</v>
          </cell>
          <cell r="M98">
            <v>666.66666666666663</v>
          </cell>
          <cell r="N98">
            <v>666.66666666666663</v>
          </cell>
          <cell r="O98">
            <v>666.66666666666663</v>
          </cell>
          <cell r="P98">
            <v>8000</v>
          </cell>
          <cell r="R98">
            <v>0</v>
          </cell>
          <cell r="S98">
            <v>8000</v>
          </cell>
          <cell r="T98">
            <v>11781.18</v>
          </cell>
          <cell r="U98">
            <v>8000</v>
          </cell>
        </row>
        <row r="99">
          <cell r="B99" t="str">
            <v>5208-1</v>
          </cell>
          <cell r="C99" t="str">
            <v>Volunteer Appreciation Event</v>
          </cell>
          <cell r="D99">
            <v>0</v>
          </cell>
          <cell r="E99">
            <v>0</v>
          </cell>
          <cell r="F99">
            <v>0</v>
          </cell>
          <cell r="G99">
            <v>0</v>
          </cell>
          <cell r="H99">
            <v>0</v>
          </cell>
          <cell r="I99">
            <v>0</v>
          </cell>
          <cell r="J99">
            <v>0</v>
          </cell>
          <cell r="K99">
            <v>0</v>
          </cell>
          <cell r="L99">
            <v>0</v>
          </cell>
          <cell r="M99">
            <v>10000</v>
          </cell>
          <cell r="N99">
            <v>0</v>
          </cell>
          <cell r="O99">
            <v>0</v>
          </cell>
          <cell r="P99">
            <v>10000</v>
          </cell>
          <cell r="Q99">
            <v>0</v>
          </cell>
          <cell r="S99">
            <v>10000</v>
          </cell>
          <cell r="T99">
            <v>0</v>
          </cell>
          <cell r="U99">
            <v>0</v>
          </cell>
        </row>
        <row r="100">
          <cell r="B100">
            <v>5208</v>
          </cell>
          <cell r="C100" t="str">
            <v>Volunteer Expense</v>
          </cell>
          <cell r="D100">
            <v>700</v>
          </cell>
          <cell r="E100">
            <v>700</v>
          </cell>
          <cell r="F100">
            <v>800</v>
          </cell>
          <cell r="G100">
            <v>900</v>
          </cell>
          <cell r="H100">
            <v>900</v>
          </cell>
          <cell r="I100">
            <v>700</v>
          </cell>
          <cell r="J100">
            <v>800</v>
          </cell>
          <cell r="K100">
            <v>800</v>
          </cell>
          <cell r="L100">
            <v>700</v>
          </cell>
          <cell r="M100">
            <v>900</v>
          </cell>
          <cell r="N100">
            <v>800</v>
          </cell>
          <cell r="O100">
            <v>400</v>
          </cell>
          <cell r="P100">
            <v>9100</v>
          </cell>
          <cell r="S100">
            <v>9905</v>
          </cell>
          <cell r="T100">
            <v>7674.11</v>
          </cell>
          <cell r="U100">
            <v>14380</v>
          </cell>
        </row>
        <row r="101">
          <cell r="B101" t="str">
            <v>*255</v>
          </cell>
          <cell r="C101" t="str">
            <v>Wages</v>
          </cell>
          <cell r="D101">
            <v>129741.91333333333</v>
          </cell>
          <cell r="E101">
            <v>129741.91333333333</v>
          </cell>
          <cell r="F101">
            <v>129741.91333333333</v>
          </cell>
          <cell r="G101">
            <v>129741.91333333333</v>
          </cell>
          <cell r="H101">
            <v>129741.91333333333</v>
          </cell>
          <cell r="I101">
            <v>129741.91333333333</v>
          </cell>
          <cell r="J101">
            <v>129741.91333333333</v>
          </cell>
          <cell r="K101">
            <v>129741.91333333333</v>
          </cell>
          <cell r="L101">
            <v>129741.91333333333</v>
          </cell>
          <cell r="M101">
            <v>129741.91333333333</v>
          </cell>
          <cell r="N101">
            <v>129741.91333333333</v>
          </cell>
          <cell r="O101">
            <v>129741.91333333333</v>
          </cell>
          <cell r="P101">
            <v>1556903</v>
          </cell>
          <cell r="S101">
            <v>1567311</v>
          </cell>
          <cell r="T101">
            <v>813420.94000000006</v>
          </cell>
          <cell r="U101">
            <v>1350079.04</v>
          </cell>
        </row>
        <row r="102">
          <cell r="B102">
            <v>5120</v>
          </cell>
          <cell r="C102" t="str">
            <v>Warranty Expense</v>
          </cell>
          <cell r="D102">
            <v>0</v>
          </cell>
          <cell r="E102">
            <v>0</v>
          </cell>
          <cell r="F102">
            <v>0</v>
          </cell>
          <cell r="G102">
            <v>5000</v>
          </cell>
          <cell r="H102">
            <v>0</v>
          </cell>
          <cell r="I102">
            <v>0</v>
          </cell>
          <cell r="J102">
            <v>5000</v>
          </cell>
          <cell r="K102">
            <v>0</v>
          </cell>
          <cell r="L102">
            <v>0</v>
          </cell>
          <cell r="M102">
            <v>0</v>
          </cell>
          <cell r="N102">
            <v>0</v>
          </cell>
          <cell r="O102">
            <v>5000</v>
          </cell>
          <cell r="P102">
            <v>15000</v>
          </cell>
          <cell r="R102">
            <v>0</v>
          </cell>
          <cell r="S102">
            <v>15000</v>
          </cell>
          <cell r="T102">
            <v>4225.13</v>
          </cell>
          <cell r="U102">
            <v>0</v>
          </cell>
        </row>
        <row r="103">
          <cell r="B103" t="str">
            <v>*290</v>
          </cell>
          <cell r="C103" t="str">
            <v>Workers Comp Ins.</v>
          </cell>
          <cell r="D103">
            <v>6292.166666666667</v>
          </cell>
          <cell r="E103">
            <v>7087.89</v>
          </cell>
          <cell r="F103">
            <v>7087.89</v>
          </cell>
          <cell r="G103">
            <v>7087.89</v>
          </cell>
          <cell r="H103">
            <v>7087.89</v>
          </cell>
          <cell r="I103">
            <v>7087.89</v>
          </cell>
          <cell r="J103">
            <v>1480.89</v>
          </cell>
          <cell r="K103">
            <v>1480.89</v>
          </cell>
          <cell r="L103">
            <v>1480.89</v>
          </cell>
          <cell r="M103">
            <v>7648.8899999999994</v>
          </cell>
          <cell r="N103">
            <v>7648.8899999999994</v>
          </cell>
          <cell r="O103">
            <v>7648.8899999999994</v>
          </cell>
          <cell r="P103">
            <v>69121</v>
          </cell>
          <cell r="S103">
            <v>58518</v>
          </cell>
          <cell r="T103">
            <v>33338</v>
          </cell>
          <cell r="U103">
            <v>41772</v>
          </cell>
        </row>
        <row r="104">
          <cell r="S104">
            <v>0</v>
          </cell>
        </row>
        <row r="105">
          <cell r="S105">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opLeftCell="A4" workbookViewId="0">
      <selection activeCell="AH131" activeCellId="3" sqref="AG82 AH117 AH127 AH131"/>
    </sheetView>
  </sheetViews>
  <sheetFormatPr defaultColWidth="8.6640625" defaultRowHeight="11.4" x14ac:dyDescent="0.2"/>
  <cols>
    <col min="1" max="1" width="28.6640625" style="18" customWidth="1"/>
    <col min="2" max="2" width="2.6640625" style="2" hidden="1" customWidth="1"/>
    <col min="3" max="3" width="12.33203125" style="3" customWidth="1"/>
    <col min="4" max="4" width="13.33203125" style="3" bestFit="1" customWidth="1"/>
    <col min="5" max="5" width="14" style="4" customWidth="1"/>
    <col min="6" max="6" width="14" style="3" customWidth="1"/>
    <col min="7" max="7" width="14.6640625" style="3" bestFit="1" customWidth="1"/>
    <col min="8" max="8" width="14.33203125" style="3" customWidth="1"/>
    <col min="9" max="9" width="12.5546875" style="13" bestFit="1" customWidth="1"/>
    <col min="10" max="16384" width="8.6640625" style="2"/>
  </cols>
  <sheetData>
    <row r="1" spans="1:9" s="25" customFormat="1" ht="16.95" customHeight="1" x14ac:dyDescent="0.3">
      <c r="A1" s="563" t="s">
        <v>0</v>
      </c>
      <c r="B1" s="563"/>
      <c r="C1" s="563"/>
      <c r="D1" s="563"/>
      <c r="E1" s="563"/>
      <c r="F1" s="563"/>
      <c r="G1" s="563"/>
      <c r="H1" s="563"/>
      <c r="I1" s="88"/>
    </row>
    <row r="2" spans="1:9" s="25" customFormat="1" ht="16.2" customHeight="1" x14ac:dyDescent="0.3">
      <c r="A2" s="563" t="s">
        <v>42</v>
      </c>
      <c r="B2" s="563"/>
      <c r="C2" s="563"/>
      <c r="D2" s="563"/>
      <c r="E2" s="563"/>
      <c r="F2" s="563"/>
      <c r="G2" s="563"/>
      <c r="H2" s="563"/>
      <c r="I2" s="88"/>
    </row>
    <row r="3" spans="1:9" s="25" customFormat="1" ht="16.95" customHeight="1" x14ac:dyDescent="0.3">
      <c r="A3" s="563" t="s">
        <v>43</v>
      </c>
      <c r="B3" s="563"/>
      <c r="C3" s="563"/>
      <c r="D3" s="563"/>
      <c r="E3" s="563"/>
      <c r="F3" s="563"/>
      <c r="G3" s="563"/>
      <c r="H3" s="563"/>
      <c r="I3" s="88"/>
    </row>
    <row r="5" spans="1:9" ht="12" thickBot="1" x14ac:dyDescent="0.25"/>
    <row r="6" spans="1:9" ht="12" thickBot="1" x14ac:dyDescent="0.25">
      <c r="C6" s="5" t="s">
        <v>2</v>
      </c>
      <c r="D6" s="6" t="s">
        <v>3</v>
      </c>
      <c r="E6" s="7" t="s">
        <v>4</v>
      </c>
      <c r="F6" s="6" t="s">
        <v>5</v>
      </c>
      <c r="G6" s="6" t="s">
        <v>6</v>
      </c>
      <c r="H6" s="8" t="s">
        <v>7</v>
      </c>
    </row>
    <row r="7" spans="1:9" x14ac:dyDescent="0.2">
      <c r="A7" s="19" t="s">
        <v>1</v>
      </c>
    </row>
    <row r="8" spans="1:9" x14ac:dyDescent="0.2">
      <c r="A8" s="18" t="s">
        <v>8</v>
      </c>
      <c r="C8" s="32"/>
      <c r="D8" s="32">
        <f>'P&amp;L detail accounting'!A12</f>
        <v>434000</v>
      </c>
      <c r="E8" s="33"/>
      <c r="F8" s="32"/>
      <c r="G8" s="32"/>
      <c r="H8" s="3">
        <f t="shared" ref="H8:H13" si="0">SUM(C8:G8)</f>
        <v>434000</v>
      </c>
    </row>
    <row r="9" spans="1:9" x14ac:dyDescent="0.2">
      <c r="A9" s="18" t="s">
        <v>9</v>
      </c>
      <c r="C9" s="32"/>
      <c r="D9" s="32">
        <f>'P&amp;L detail accounting'!A37</f>
        <v>431000</v>
      </c>
      <c r="E9" s="33"/>
      <c r="F9" s="32"/>
      <c r="G9" s="32"/>
      <c r="H9" s="3">
        <f t="shared" si="0"/>
        <v>431000</v>
      </c>
    </row>
    <row r="10" spans="1:9" x14ac:dyDescent="0.2">
      <c r="A10" s="18" t="s">
        <v>5</v>
      </c>
      <c r="C10" s="32"/>
      <c r="D10" s="32"/>
      <c r="E10" s="33"/>
      <c r="F10" s="32">
        <f>'P&amp;L detail accounting'!A46</f>
        <v>1861710</v>
      </c>
      <c r="G10" s="32"/>
      <c r="H10" s="3">
        <f t="shared" si="0"/>
        <v>1861710</v>
      </c>
    </row>
    <row r="11" spans="1:9" x14ac:dyDescent="0.2">
      <c r="A11" s="18" t="s">
        <v>10</v>
      </c>
      <c r="C11" s="32"/>
      <c r="D11" s="32"/>
      <c r="E11" s="33"/>
      <c r="F11" s="32"/>
      <c r="G11" s="32">
        <f>'P&amp;L detail accounting'!A43</f>
        <v>331696</v>
      </c>
      <c r="H11" s="3">
        <f t="shared" si="0"/>
        <v>331696</v>
      </c>
    </row>
    <row r="12" spans="1:9" x14ac:dyDescent="0.2">
      <c r="A12" s="18" t="s">
        <v>11</v>
      </c>
      <c r="C12" s="32"/>
      <c r="D12" s="32"/>
      <c r="E12" s="33">
        <f>'P&amp;L detail accounting'!A45</f>
        <v>1420857</v>
      </c>
      <c r="F12" s="32"/>
      <c r="G12" s="32"/>
      <c r="H12" s="3">
        <f t="shared" si="0"/>
        <v>1420857</v>
      </c>
    </row>
    <row r="13" spans="1:9" x14ac:dyDescent="0.2">
      <c r="A13" s="18" t="s">
        <v>12</v>
      </c>
      <c r="C13" s="32"/>
      <c r="D13" s="32">
        <f>'P&amp;L detail accounting'!O73</f>
        <v>10000</v>
      </c>
      <c r="E13" s="33">
        <f>'P&amp;L detail accounting'!O61+'P&amp;L detail accounting'!O62+'P&amp;L detail accounting'!O72</f>
        <v>28990</v>
      </c>
      <c r="F13" s="32"/>
      <c r="G13" s="32"/>
      <c r="H13" s="17">
        <f t="shared" si="0"/>
        <v>38990</v>
      </c>
    </row>
    <row r="14" spans="1:9" x14ac:dyDescent="0.2">
      <c r="A14" s="18" t="s">
        <v>13</v>
      </c>
      <c r="C14" s="14">
        <f t="shared" ref="C14:H14" si="1">SUM(C8:C13)</f>
        <v>0</v>
      </c>
      <c r="D14" s="14">
        <f t="shared" si="1"/>
        <v>875000</v>
      </c>
      <c r="E14" s="14">
        <f t="shared" si="1"/>
        <v>1449847</v>
      </c>
      <c r="F14" s="14">
        <f t="shared" si="1"/>
        <v>1861710</v>
      </c>
      <c r="G14" s="14">
        <f t="shared" si="1"/>
        <v>331696</v>
      </c>
      <c r="H14" s="27">
        <f t="shared" si="1"/>
        <v>4518253</v>
      </c>
    </row>
    <row r="18" spans="1:9" x14ac:dyDescent="0.2">
      <c r="A18" s="19" t="s">
        <v>14</v>
      </c>
    </row>
    <row r="19" spans="1:9" s="10" customFormat="1" x14ac:dyDescent="0.2">
      <c r="A19" s="58" t="s">
        <v>15</v>
      </c>
      <c r="B19" s="10">
        <v>1</v>
      </c>
      <c r="C19" s="34"/>
      <c r="D19" s="34"/>
      <c r="E19" s="35"/>
      <c r="F19" s="34"/>
      <c r="G19" s="34">
        <f>'P&amp;L detail accounting'!AC99</f>
        <v>1000000</v>
      </c>
      <c r="H19" s="59">
        <f>SUM(C19:G19)</f>
        <v>1000000</v>
      </c>
      <c r="I19" s="13"/>
    </row>
    <row r="20" spans="1:9" s="10" customFormat="1" x14ac:dyDescent="0.2">
      <c r="A20" s="58" t="s">
        <v>4</v>
      </c>
      <c r="B20" s="10">
        <v>2</v>
      </c>
      <c r="C20" s="34"/>
      <c r="D20" s="34"/>
      <c r="E20" s="35">
        <f>'P&amp;L detail accounting'!Z122</f>
        <v>600000</v>
      </c>
      <c r="F20" s="34"/>
      <c r="G20" s="34"/>
      <c r="H20" s="59">
        <f t="shared" ref="H20:H32" si="2">SUM(C20:G20)</f>
        <v>600000</v>
      </c>
      <c r="I20" s="13"/>
    </row>
    <row r="21" spans="1:9" s="10" customFormat="1" x14ac:dyDescent="0.2">
      <c r="A21" s="56" t="s">
        <v>16</v>
      </c>
      <c r="B21" s="10">
        <v>3</v>
      </c>
      <c r="C21" s="34">
        <f>'P&amp;L detail accounting'!AG105+'P&amp;L detail accounting'!AG106+'P&amp;L detail accounting'!AG126+'P&amp;L detail accounting'!AG136</f>
        <v>291577.23</v>
      </c>
      <c r="D21" s="34">
        <f>'P&amp;L detail accounting'!AF105+'P&amp;L detail accounting'!AF106+'P&amp;L detail accounting'!AF126+'P&amp;L detail accounting'!AF136+'P&amp;L detail accounting'!AF145</f>
        <v>277474</v>
      </c>
      <c r="E21" s="35"/>
      <c r="F21" s="34">
        <f>'P&amp;L detail accounting'!AE105+'P&amp;L detail accounting'!AE106+'P&amp;L detail accounting'!AE126+'P&amp;L detail accounting'!AE136</f>
        <v>700874.01</v>
      </c>
      <c r="G21" s="34">
        <f>'P&amp;L detail accounting'!AA105+'P&amp;L detail accounting'!AA106+'P&amp;L detail accounting'!AC105+'P&amp;L detail accounting'!AC106+'P&amp;L detail accounting'!AA126+'P&amp;L detail accounting'!AC126+'P&amp;L detail accounting'!AA136+'P&amp;L detail accounting'!AC136</f>
        <v>392048.76</v>
      </c>
      <c r="H21" s="57">
        <f>SUM(C21:G21)</f>
        <v>1661974</v>
      </c>
      <c r="I21" s="13"/>
    </row>
    <row r="22" spans="1:9" s="10" customFormat="1" ht="24.6" customHeight="1" x14ac:dyDescent="0.2">
      <c r="A22" s="37" t="s">
        <v>17</v>
      </c>
      <c r="B22" s="10">
        <v>5</v>
      </c>
      <c r="C22" s="34">
        <f>'P&amp;L detail accounting'!AG94+'P&amp;L detail accounting'!AG121</f>
        <v>4114.66</v>
      </c>
      <c r="D22" s="34">
        <f>'P&amp;L detail accounting'!AF94+'P&amp;L detail accounting'!AF121</f>
        <v>6186.84</v>
      </c>
      <c r="E22" s="35"/>
      <c r="F22" s="34">
        <f>'P&amp;L detail accounting'!AE94+'P&amp;L detail accounting'!AE121</f>
        <v>17608.300000000003</v>
      </c>
      <c r="G22" s="34">
        <f>'P&amp;L detail accounting'!AD94+'P&amp;L detail accounting'!AC94+'P&amp;L detail accounting'!AA94+'P&amp;L detail accounting'!AA121+'P&amp;L detail accounting'!AC121+'P&amp;L detail accounting'!AD121</f>
        <v>10681.2</v>
      </c>
      <c r="H22" s="65">
        <f t="shared" si="2"/>
        <v>38591</v>
      </c>
      <c r="I22" s="13"/>
    </row>
    <row r="23" spans="1:9" s="10" customFormat="1" x14ac:dyDescent="0.2">
      <c r="A23" s="66" t="s">
        <v>29</v>
      </c>
      <c r="B23" s="10">
        <v>6</v>
      </c>
      <c r="C23" s="34">
        <f>'P&amp;L detail accounting'!AG130</f>
        <v>605</v>
      </c>
      <c r="D23" s="34">
        <f>'P&amp;L detail accounting'!AF83+'P&amp;L detail accounting'!AF110+'P&amp;L detail accounting'!AF130+'P&amp;L detail accounting'!AF132</f>
        <v>56060</v>
      </c>
      <c r="E23" s="35"/>
      <c r="F23" s="34">
        <f>'P&amp;L detail accounting'!AE83+'P&amp;L detail accounting'!AE130</f>
        <v>82300</v>
      </c>
      <c r="G23" s="34">
        <f>'P&amp;L detail accounting'!Y130+'P&amp;L detail accounting'!Z130+'P&amp;L detail accounting'!AA130+'P&amp;L detail accounting'!AB130+'P&amp;L detail accounting'!AC130+'P&amp;L detail accounting'!AD130</f>
        <v>4670</v>
      </c>
      <c r="H23" s="67">
        <f t="shared" si="2"/>
        <v>143635</v>
      </c>
      <c r="I23" s="13"/>
    </row>
    <row r="24" spans="1:9" s="10" customFormat="1" x14ac:dyDescent="0.2">
      <c r="A24" s="78" t="s">
        <v>28</v>
      </c>
      <c r="B24" s="10">
        <v>7</v>
      </c>
      <c r="C24" s="34"/>
      <c r="D24" s="34"/>
      <c r="E24" s="35"/>
      <c r="F24" s="34">
        <f>'P&amp;L detail accounting'!AE84+'P&amp;L detail accounting'!AE107+'P&amp;L detail accounting'!AE109+'P&amp;L detail accounting'!AE125+'P&amp;L detail accounting'!AE135+'P&amp;L detail accounting'!AE143+'P&amp;L detail accounting'!AE151+'P&amp;L detail accounting'!AE152+875</f>
        <v>49465</v>
      </c>
      <c r="G24" s="34">
        <f>'P&amp;L detail accounting'!Y84+'P&amp;L detail accounting'!AG84+'P&amp;L detail accounting'!Y92+'P&amp;L detail accounting'!AC96+'P&amp;L detail accounting'!AB101+'P&amp;L detail accounting'!Y102+'P&amp;L detail accounting'!Y103+'P&amp;L detail accounting'!AC109+'P&amp;L detail accounting'!Z119+'P&amp;L detail accounting'!AC135+'P&amp;L detail accounting'!AC143+'P&amp;L detail accounting'!AC146+'P&amp;L detail accounting'!AC152+'P&amp;L detail accounting'!AC153+'P&amp;L detail accounting'!AC128</f>
        <v>62825</v>
      </c>
      <c r="H24" s="82">
        <f t="shared" si="2"/>
        <v>112290</v>
      </c>
      <c r="I24" s="13"/>
    </row>
    <row r="25" spans="1:9" s="10" customFormat="1" x14ac:dyDescent="0.2">
      <c r="A25" s="38" t="s">
        <v>18</v>
      </c>
      <c r="B25" s="10">
        <v>8</v>
      </c>
      <c r="C25" s="34">
        <f>'P&amp;L detail accounting'!AG118+'P&amp;L detail accounting'!AG154</f>
        <v>6995.23</v>
      </c>
      <c r="D25" s="34">
        <f>'P&amp;L detail accounting'!AF118+'P&amp;L detail accounting'!AF154</f>
        <v>8903.02</v>
      </c>
      <c r="E25" s="35"/>
      <c r="F25" s="34">
        <f>'P&amp;L detail accounting'!AE88+'P&amp;L detail accounting'!AE112+'P&amp;L detail accounting'!AE118+'P&amp;L detail accounting'!AE154</f>
        <v>56952.150000000009</v>
      </c>
      <c r="G25" s="34">
        <f>'P&amp;L detail accounting'!AC112+'P&amp;L detail accounting'!AA118+'P&amp;L detail accounting'!AC118+'P&amp;L detail accounting'!AD118+'P&amp;L detail accounting'!AA154+'P&amp;L detail accounting'!AC154+'P&amp;L detail accounting'!AD154</f>
        <v>16433.599999999999</v>
      </c>
      <c r="H25" s="69">
        <f t="shared" si="2"/>
        <v>89284</v>
      </c>
      <c r="I25" s="13"/>
    </row>
    <row r="26" spans="1:9" s="10" customFormat="1" x14ac:dyDescent="0.2">
      <c r="A26" s="68" t="s">
        <v>19</v>
      </c>
      <c r="B26" s="10">
        <v>9</v>
      </c>
      <c r="C26" s="34"/>
      <c r="D26" s="34"/>
      <c r="E26" s="35"/>
      <c r="F26" s="34">
        <f>'P&amp;L detail accounting'!AE113</f>
        <v>35460</v>
      </c>
      <c r="G26" s="34"/>
      <c r="H26" s="70">
        <f t="shared" si="2"/>
        <v>35460</v>
      </c>
      <c r="I26" s="13"/>
    </row>
    <row r="27" spans="1:9" s="10" customFormat="1" ht="22.8" x14ac:dyDescent="0.2">
      <c r="A27" s="20" t="s">
        <v>20</v>
      </c>
      <c r="B27" s="10">
        <v>10</v>
      </c>
      <c r="C27" s="34">
        <f>'P&amp;L detail accounting'!AG85+'P&amp;L detail accounting'!AG115+'P&amp;L detail accounting'!AG116+'P&amp;L detail accounting'!AG120+'P&amp;L detail accounting'!AG124+'P&amp;L detail accounting'!AG129+'P&amp;L detail accounting'!AG142+'P&amp;L detail accounting'!AG144+'P&amp;L detail accounting'!AG149+'P&amp;L detail accounting'!AG87+'P&amp;L detail accounting'!AG140</f>
        <v>25325.22</v>
      </c>
      <c r="D27" s="34">
        <f>'P&amp;L detail accounting'!AF85+'P&amp;L detail accounting'!AF115+'P&amp;L detail accounting'!AF116+'P&amp;L detail accounting'!AF120+'P&amp;L detail accounting'!AF124+'P&amp;L detail accounting'!AF129+'P&amp;L detail accounting'!AF142+'P&amp;L detail accounting'!AF144+'P&amp;L detail accounting'!AF148+'P&amp;L detail accounting'!AF149+'P&amp;L detail accounting'!AF140</f>
        <v>48889.820000000007</v>
      </c>
      <c r="E27" s="35"/>
      <c r="F27" s="34">
        <f>'P&amp;L detail accounting'!AE85+'P&amp;L detail accounting'!AE90+'P&amp;L detail accounting'!AE115+'P&amp;L detail accounting'!AE116+'P&amp;L detail accounting'!AE129+'P&amp;L detail accounting'!AE133+'P&amp;L detail accounting'!AE134+'P&amp;L detail accounting'!AE137+'P&amp;L detail accounting'!AE142+'P&amp;L detail accounting'!AE144+'P&amp;L detail accounting'!AE147+'P&amp;L detail accounting'!AE148+'P&amp;L detail accounting'!AE149+'P&amp;L detail accounting'!AE140</f>
        <v>125859</v>
      </c>
      <c r="G27" s="34">
        <f>'P&amp;L detail accounting'!Z85+'P&amp;L detail accounting'!AC90+'P&amp;L detail accounting'!AA115+'P&amp;L detail accounting'!AC115+'P&amp;L detail accounting'!AD115+'P&amp;L detail accounting'!AA116+'P&amp;L detail accounting'!AC116+'P&amp;L detail accounting'!AA120+'P&amp;L detail accounting'!AA124+'P&amp;L detail accounting'!Y129+'P&amp;L detail accounting'!Z129+'P&amp;L detail accounting'!AA129+'P&amp;L detail accounting'!AC129+'P&amp;L detail accounting'!AD129+'P&amp;L detail accounting'!AC141+'P&amp;L detail accounting'!AA142+'P&amp;L detail accounting'!AC142+'P&amp;L detail accounting'!AD142+'P&amp;L detail accounting'!AA144+'P&amp;L detail accounting'!AC144+'P&amp;L detail accounting'!AD144+'P&amp;L detail accounting'!AC148+'P&amp;L detail accounting'!AA149+'P&amp;L detail accounting'!AC140+'P&amp;L detail accounting'!AA140</f>
        <v>27621.96</v>
      </c>
      <c r="H27" s="11">
        <f t="shared" si="2"/>
        <v>227696</v>
      </c>
      <c r="I27" s="13"/>
    </row>
    <row r="28" spans="1:9" s="10" customFormat="1" ht="22.8" x14ac:dyDescent="0.2">
      <c r="A28" s="72" t="s">
        <v>27</v>
      </c>
      <c r="B28" s="10">
        <v>11</v>
      </c>
      <c r="C28" s="34">
        <f>'P&amp;L detail accounting'!AG104</f>
        <v>2886.95</v>
      </c>
      <c r="D28" s="34">
        <f>'P&amp;L detail accounting'!AF104</f>
        <v>3674.3</v>
      </c>
      <c r="E28" s="35"/>
      <c r="F28" s="34">
        <f>'P&amp;L detail accounting'!AE104</f>
        <v>14959.649999999998</v>
      </c>
      <c r="G28" s="34">
        <f>'P&amp;L detail accounting'!AA104+'P&amp;L detail accounting'!AC104</f>
        <v>4724.1000000000004</v>
      </c>
      <c r="H28" s="86">
        <f t="shared" si="2"/>
        <v>26245</v>
      </c>
      <c r="I28" s="13"/>
    </row>
    <row r="29" spans="1:9" s="10" customFormat="1" ht="22.8" x14ac:dyDescent="0.2">
      <c r="A29" s="73" t="s">
        <v>24</v>
      </c>
      <c r="B29" s="10">
        <v>12</v>
      </c>
      <c r="C29" s="34"/>
      <c r="D29" s="34">
        <f>'P&amp;L detail accounting'!AF139</f>
        <v>1871</v>
      </c>
      <c r="E29" s="35"/>
      <c r="F29" s="34">
        <f>'P&amp;L detail accounting'!AE86+'P&amp;L detail accounting'!AE89+'P&amp;L detail accounting'!AE123+'P&amp;L detail accounting'!AE139</f>
        <v>59050</v>
      </c>
      <c r="G29" s="34">
        <f>'P&amp;L detail accounting'!AC98+'P&amp;L detail accounting'!AC150+'P&amp;L detail accounting'!Z139</f>
        <v>15263</v>
      </c>
      <c r="H29" s="75">
        <f t="shared" si="2"/>
        <v>76184</v>
      </c>
      <c r="I29" s="13"/>
    </row>
    <row r="30" spans="1:9" s="10" customFormat="1" ht="22.8" x14ac:dyDescent="0.2">
      <c r="A30" s="44" t="s">
        <v>23</v>
      </c>
      <c r="B30" s="10">
        <v>13</v>
      </c>
      <c r="C30" s="34">
        <f>'P&amp;L detail accounting'!AG82+'P&amp;L detail accounting'!AG117+'P&amp;L detail accounting'!AG127</f>
        <v>13130.52</v>
      </c>
      <c r="D30" s="34">
        <f>'P&amp;L detail accounting'!AF127</f>
        <v>802.48000000000013</v>
      </c>
      <c r="E30" s="35"/>
      <c r="F30" s="34">
        <f>'P&amp;L detail accounting'!AE127</f>
        <v>3152.6000000000004</v>
      </c>
      <c r="G30" s="34">
        <f>'P&amp;L detail accounting'!Z117+'P&amp;L detail accounting'!AA117+'P&amp;L detail accounting'!AA127+'P&amp;L detail accounting'!AC127+'P&amp;L detail accounting'!AD127+'P&amp;L detail accounting'!AA131+'P&amp;L detail accounting'!AC131</f>
        <v>4066.4000000000005</v>
      </c>
      <c r="H30" s="77">
        <f t="shared" si="2"/>
        <v>21152</v>
      </c>
      <c r="I30" s="13"/>
    </row>
    <row r="31" spans="1:9" s="10" customFormat="1" x14ac:dyDescent="0.2">
      <c r="A31" s="39" t="s">
        <v>25</v>
      </c>
      <c r="B31" s="10">
        <v>15</v>
      </c>
      <c r="C31" s="34"/>
      <c r="D31" s="34"/>
      <c r="E31" s="35"/>
      <c r="F31" s="34">
        <f>'P&amp;L detail accounting'!AE91+'P&amp;L detail accounting'!AE95+'P&amp;L detail accounting'!AE100</f>
        <v>122760</v>
      </c>
      <c r="G31" s="34"/>
      <c r="H31" s="80">
        <f t="shared" si="2"/>
        <v>122760</v>
      </c>
      <c r="I31" s="13"/>
    </row>
    <row r="32" spans="1:9" s="10" customFormat="1" x14ac:dyDescent="0.2">
      <c r="A32" s="46" t="s">
        <v>21</v>
      </c>
      <c r="B32" s="10">
        <v>14</v>
      </c>
      <c r="C32" s="15"/>
      <c r="D32" s="15">
        <f>'P&amp;L detail accounting'!AF114</f>
        <v>65000</v>
      </c>
      <c r="E32" s="16"/>
      <c r="F32" s="15"/>
      <c r="G32" s="15"/>
      <c r="H32" s="71">
        <f t="shared" si="2"/>
        <v>65000</v>
      </c>
      <c r="I32" s="13"/>
    </row>
    <row r="33" spans="1:8" x14ac:dyDescent="0.2">
      <c r="A33" s="18" t="s">
        <v>22</v>
      </c>
      <c r="C33" s="87">
        <f t="shared" ref="C33:H33" si="3">SUM(C19:C32)</f>
        <v>344634.81</v>
      </c>
      <c r="D33" s="87">
        <f t="shared" si="3"/>
        <v>468861.46</v>
      </c>
      <c r="E33" s="87">
        <f t="shared" si="3"/>
        <v>600000</v>
      </c>
      <c r="F33" s="87">
        <f t="shared" si="3"/>
        <v>1268440.71</v>
      </c>
      <c r="G33" s="87">
        <f t="shared" si="3"/>
        <v>1538334.02</v>
      </c>
      <c r="H33" s="27">
        <f t="shared" si="3"/>
        <v>4220271</v>
      </c>
    </row>
    <row r="35" spans="1:8" ht="12" thickBot="1" x14ac:dyDescent="0.25">
      <c r="A35" s="18" t="s">
        <v>26</v>
      </c>
      <c r="C35" s="9">
        <f t="shared" ref="C35:H35" si="4">C14-C33</f>
        <v>-344634.81</v>
      </c>
      <c r="D35" s="9">
        <f t="shared" si="4"/>
        <v>406138.54</v>
      </c>
      <c r="E35" s="9">
        <f t="shared" si="4"/>
        <v>849847</v>
      </c>
      <c r="F35" s="9">
        <f t="shared" si="4"/>
        <v>593269.29</v>
      </c>
      <c r="G35" s="9">
        <f t="shared" si="4"/>
        <v>-1206638.02</v>
      </c>
      <c r="H35" s="28">
        <f t="shared" si="4"/>
        <v>297982</v>
      </c>
    </row>
    <row r="36" spans="1:8" ht="12" thickTop="1" x14ac:dyDescent="0.2"/>
    <row r="37" spans="1:8" x14ac:dyDescent="0.2">
      <c r="C37" s="29">
        <f>C33/H33</f>
        <v>8.1661772431201693E-2</v>
      </c>
      <c r="D37" s="29">
        <f>D33/H33</f>
        <v>0.11109747691558197</v>
      </c>
      <c r="E37" s="30">
        <f>(E33+F33+G33)/H33</f>
        <v>0.80724075065321632</v>
      </c>
      <c r="F37" s="29">
        <f>SUM(C37:E37)</f>
        <v>1</v>
      </c>
    </row>
    <row r="38" spans="1:8" x14ac:dyDescent="0.2">
      <c r="C38" s="3" t="s">
        <v>36</v>
      </c>
      <c r="D38" s="3" t="s">
        <v>37</v>
      </c>
      <c r="E38" s="4" t="s">
        <v>38</v>
      </c>
    </row>
    <row r="42" spans="1:8" x14ac:dyDescent="0.2">
      <c r="C42" s="31"/>
    </row>
  </sheetData>
  <mergeCells count="3">
    <mergeCell ref="A1:H1"/>
    <mergeCell ref="A2:H2"/>
    <mergeCell ref="A3:H3"/>
  </mergeCells>
  <pageMargins left="0.2" right="0.2" top="0.75" bottom="0.75" header="0.3" footer="0.3"/>
  <pageSetup scale="9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I50"/>
  <sheetViews>
    <sheetView workbookViewId="0">
      <pane xSplit="1" ySplit="1" topLeftCell="B2" activePane="bottomRight" state="frozen"/>
      <selection activeCell="A4" sqref="A4"/>
      <selection pane="topRight" activeCell="A4" sqref="A4"/>
      <selection pane="bottomLeft" activeCell="A4" sqref="A4"/>
      <selection pane="bottomRight" activeCell="D2" sqref="D2"/>
    </sheetView>
  </sheetViews>
  <sheetFormatPr defaultColWidth="10.6640625" defaultRowHeight="14.4" x14ac:dyDescent="0.3"/>
  <cols>
    <col min="1" max="1" width="28.33203125" bestFit="1" customWidth="1"/>
    <col min="2" max="2" width="15.5546875" customWidth="1"/>
    <col min="3" max="3" width="14.6640625" customWidth="1"/>
    <col min="4" max="4" width="16" customWidth="1"/>
    <col min="5" max="6" width="11.5546875" bestFit="1" customWidth="1"/>
    <col min="7" max="7" width="13.33203125" bestFit="1" customWidth="1"/>
    <col min="8" max="8" width="11.33203125" bestFit="1" customWidth="1"/>
  </cols>
  <sheetData>
    <row r="1" spans="1:9" ht="15" thickBot="1" x14ac:dyDescent="0.35">
      <c r="B1" s="129" t="s">
        <v>2</v>
      </c>
      <c r="C1" s="130" t="s">
        <v>3</v>
      </c>
      <c r="D1" s="131" t="s">
        <v>439</v>
      </c>
      <c r="E1" s="130" t="s">
        <v>5</v>
      </c>
      <c r="F1" s="130" t="s">
        <v>6</v>
      </c>
      <c r="G1" s="132" t="s">
        <v>7</v>
      </c>
    </row>
    <row r="2" spans="1:9" x14ac:dyDescent="0.3">
      <c r="A2" s="277" t="s">
        <v>411</v>
      </c>
      <c r="B2" s="36"/>
      <c r="C2" s="36"/>
      <c r="D2" s="36"/>
      <c r="E2" s="36"/>
      <c r="F2" s="36">
        <f>'[2]Combined Summary-Proof'!$L$61</f>
        <v>1200</v>
      </c>
      <c r="G2" s="36">
        <f t="shared" ref="G2:G33" si="0">SUM(B2:F2)</f>
        <v>1200</v>
      </c>
    </row>
    <row r="3" spans="1:9" x14ac:dyDescent="0.3">
      <c r="A3" s="277" t="s">
        <v>409</v>
      </c>
      <c r="B3" s="36"/>
      <c r="C3" s="36"/>
      <c r="D3" s="36"/>
      <c r="E3" s="36">
        <f>'[2]Combined Summary-Proof'!$S$68</f>
        <v>75</v>
      </c>
      <c r="F3" s="36">
        <f>'[2]Combined Summary-Proof'!$L$68</f>
        <v>0</v>
      </c>
      <c r="G3" s="36">
        <f t="shared" si="0"/>
        <v>75</v>
      </c>
    </row>
    <row r="4" spans="1:9" x14ac:dyDescent="0.3">
      <c r="A4" s="277" t="s">
        <v>366</v>
      </c>
      <c r="B4" s="36"/>
      <c r="C4" s="36"/>
      <c r="D4" s="36">
        <f>'[2]Combined Summary-Proof'!$N$70</f>
        <v>10640</v>
      </c>
      <c r="E4" s="36"/>
      <c r="F4" s="36">
        <f>'[2]Combined Summary-Proof'!$L$70</f>
        <v>0</v>
      </c>
      <c r="G4" s="36">
        <f t="shared" si="0"/>
        <v>10640</v>
      </c>
    </row>
    <row r="5" spans="1:9" x14ac:dyDescent="0.3">
      <c r="A5" s="277" t="s">
        <v>410</v>
      </c>
      <c r="B5" s="36"/>
      <c r="C5" s="36"/>
      <c r="D5" s="36"/>
      <c r="E5" s="36">
        <f>'[2]Combined Summary-Proof'!$S$89</f>
        <v>150</v>
      </c>
      <c r="F5" s="36"/>
      <c r="G5" s="36">
        <f t="shared" si="0"/>
        <v>150</v>
      </c>
    </row>
    <row r="6" spans="1:9" x14ac:dyDescent="0.3">
      <c r="A6" s="277" t="s">
        <v>395</v>
      </c>
      <c r="B6" s="36"/>
      <c r="C6" s="36"/>
      <c r="D6" s="36">
        <f>'[2]Combined Summary-Proof'!$O$93</f>
        <v>945</v>
      </c>
      <c r="E6" s="36">
        <f>'[2]Combined Summary-Proof'!$S$93</f>
        <v>22800</v>
      </c>
      <c r="F6" s="36">
        <f>'[2]Combined Summary-Proof'!$L$93</f>
        <v>0</v>
      </c>
      <c r="G6" s="36">
        <f t="shared" si="0"/>
        <v>23745</v>
      </c>
      <c r="H6" s="127"/>
    </row>
    <row r="7" spans="1:9" x14ac:dyDescent="0.3">
      <c r="A7" s="277" t="s">
        <v>412</v>
      </c>
      <c r="B7" s="36"/>
      <c r="C7" s="36"/>
      <c r="D7" s="36">
        <f>+'[2]Combined Summary-Proof'!$P$97+'[2]Combined Summary-Proof'!$Q$97</f>
        <v>1186</v>
      </c>
      <c r="E7" s="36">
        <f>'[2]Combined Summary-Proof'!$S$97</f>
        <v>4000</v>
      </c>
      <c r="F7" s="36">
        <f>+'[2]Combined Summary-Proof'!$L$97+'[2]Combined Summary-Proof'!$M$97</f>
        <v>300</v>
      </c>
      <c r="G7" s="36">
        <f t="shared" si="0"/>
        <v>5486</v>
      </c>
    </row>
    <row r="8" spans="1:9" x14ac:dyDescent="0.3">
      <c r="A8" s="277" t="s">
        <v>405</v>
      </c>
      <c r="B8" s="36"/>
      <c r="C8" s="36"/>
      <c r="D8" s="36">
        <f>'[2]Combined Summary-Proof'!$Q$100</f>
        <v>2472</v>
      </c>
      <c r="E8" s="36">
        <f>'[2]Combined Summary-Proof'!S100</f>
        <v>12000</v>
      </c>
      <c r="F8" s="36">
        <f>+'[2]Combined Summary-Proof'!$L$100+'[2]Combined Summary-Proof'!$M$100</f>
        <v>1680</v>
      </c>
      <c r="G8" s="36">
        <f t="shared" si="0"/>
        <v>16152</v>
      </c>
    </row>
    <row r="9" spans="1:9" x14ac:dyDescent="0.3">
      <c r="A9" s="277" t="s">
        <v>406</v>
      </c>
      <c r="B9" s="36"/>
      <c r="C9" s="36"/>
      <c r="D9" s="36">
        <f>+'[2]Combined Summary-Proof'!$N$101+'[2]Combined Summary-Proof'!$O$101+'[2]Combined Summary-Proof'!$P$101</f>
        <v>651</v>
      </c>
      <c r="E9" s="36">
        <f>'[2]Combined Summary-Proof'!S101</f>
        <v>100</v>
      </c>
      <c r="F9" s="36">
        <f>+'[2]Combined Summary-Proof'!$L$101+'[2]Combined Summary-Proof'!$M$101</f>
        <v>0</v>
      </c>
      <c r="G9" s="36">
        <f t="shared" si="0"/>
        <v>751</v>
      </c>
    </row>
    <row r="10" spans="1:9" x14ac:dyDescent="0.3">
      <c r="A10" s="277" t="s">
        <v>407</v>
      </c>
      <c r="B10" s="36"/>
      <c r="C10" s="36"/>
      <c r="D10" s="36">
        <f>+'[2]Combined Summary-Proof'!$P$102</f>
        <v>399.99999999999994</v>
      </c>
      <c r="E10" s="36">
        <f>'[2]Combined Summary-Proof'!S102</f>
        <v>3600</v>
      </c>
      <c r="F10" s="36">
        <f>+'[2]Combined Summary-Proof'!$L$102+'[2]Combined Summary-Proof'!$M$102</f>
        <v>700</v>
      </c>
      <c r="G10" s="36">
        <f t="shared" si="0"/>
        <v>4700</v>
      </c>
    </row>
    <row r="11" spans="1:9" x14ac:dyDescent="0.3">
      <c r="A11" s="277" t="s">
        <v>408</v>
      </c>
      <c r="B11" s="36"/>
      <c r="C11" s="36">
        <f>'[2]Combined Summary-Proof'!$I$103</f>
        <v>200</v>
      </c>
      <c r="D11" s="36"/>
      <c r="E11" s="36">
        <f>'[2]Combined Summary-Proof'!$S$103</f>
        <v>0</v>
      </c>
      <c r="F11" s="36">
        <f>+'[2]Combined Summary-Proof'!$L$103+'[2]Combined Summary-Proof'!$M$103</f>
        <v>0</v>
      </c>
      <c r="G11" s="36">
        <f t="shared" si="0"/>
        <v>200</v>
      </c>
    </row>
    <row r="12" spans="1:9" x14ac:dyDescent="0.3">
      <c r="A12" s="277" t="s">
        <v>397</v>
      </c>
      <c r="B12" s="36"/>
      <c r="C12" s="36"/>
      <c r="D12" s="36"/>
      <c r="E12" s="36">
        <f>'[2]Combined Summary-Proof'!$S$105</f>
        <v>8000</v>
      </c>
      <c r="F12" s="36">
        <f>'[2]Combined Summary-Proof'!L105</f>
        <v>0</v>
      </c>
      <c r="G12" s="36">
        <f t="shared" si="0"/>
        <v>8000</v>
      </c>
      <c r="H12" s="127"/>
      <c r="I12" s="277"/>
    </row>
    <row r="13" spans="1:9" x14ac:dyDescent="0.3">
      <c r="A13" s="277" t="s">
        <v>398</v>
      </c>
      <c r="B13" s="36"/>
      <c r="C13" s="36"/>
      <c r="D13" s="36">
        <f>'[2]Combined Summary-Proof'!P106</f>
        <v>5266.7999999999993</v>
      </c>
      <c r="E13" s="36"/>
      <c r="F13" s="36">
        <f>'[2]Combined Summary-Proof'!L106</f>
        <v>0</v>
      </c>
      <c r="G13" s="36">
        <f t="shared" si="0"/>
        <v>5266.7999999999993</v>
      </c>
      <c r="H13" s="127"/>
      <c r="I13" s="277"/>
    </row>
    <row r="14" spans="1:9" x14ac:dyDescent="0.3">
      <c r="A14" s="277" t="s">
        <v>399</v>
      </c>
      <c r="B14" s="36"/>
      <c r="C14" s="36"/>
      <c r="D14" s="36">
        <f>'[2]Combined Summary-Proof'!P107</f>
        <v>0</v>
      </c>
      <c r="E14" s="36">
        <f>'[2]Combined Summary-Proof'!S107</f>
        <v>17600</v>
      </c>
      <c r="F14" s="36">
        <f>'[2]Combined Summary-Proof'!L107</f>
        <v>0</v>
      </c>
      <c r="G14" s="36">
        <f t="shared" si="0"/>
        <v>17600</v>
      </c>
      <c r="I14" s="277"/>
    </row>
    <row r="15" spans="1:9" x14ac:dyDescent="0.3">
      <c r="A15" s="277" t="s">
        <v>400</v>
      </c>
      <c r="B15" s="36"/>
      <c r="C15" s="36"/>
      <c r="D15" s="36">
        <f>'[2]Combined Summary-Proof'!P108</f>
        <v>1320</v>
      </c>
      <c r="E15" s="36">
        <f>'[2]Combined Summary-Proof'!S108</f>
        <v>22800</v>
      </c>
      <c r="F15" s="36">
        <f>'[2]Combined Summary-Proof'!L108</f>
        <v>0</v>
      </c>
      <c r="G15" s="36">
        <f t="shared" si="0"/>
        <v>24120</v>
      </c>
      <c r="I15" s="277"/>
    </row>
    <row r="16" spans="1:9" x14ac:dyDescent="0.3">
      <c r="A16" s="277" t="s">
        <v>401</v>
      </c>
      <c r="B16" s="36"/>
      <c r="C16" s="36"/>
      <c r="D16" s="36">
        <f>'[2]Combined Summary-Proof'!P109</f>
        <v>0</v>
      </c>
      <c r="E16" s="36">
        <f>'[2]Combined Summary-Proof'!S109</f>
        <v>13112</v>
      </c>
      <c r="F16" s="36">
        <f>'[2]Combined Summary-Proof'!L109</f>
        <v>0</v>
      </c>
      <c r="G16" s="36">
        <f t="shared" si="0"/>
        <v>13112</v>
      </c>
      <c r="I16" s="277"/>
    </row>
    <row r="17" spans="1:9" x14ac:dyDescent="0.3">
      <c r="A17" s="277" t="s">
        <v>402</v>
      </c>
      <c r="B17" s="36"/>
      <c r="C17" s="36"/>
      <c r="D17" s="36">
        <f>'[2]Combined Summary-Proof'!P110</f>
        <v>753</v>
      </c>
      <c r="E17" s="36">
        <f>'[2]Combined Summary-Proof'!S110</f>
        <v>9684</v>
      </c>
      <c r="F17" s="36">
        <f>'[2]Combined Summary-Proof'!L110</f>
        <v>100</v>
      </c>
      <c r="G17" s="36">
        <f t="shared" si="0"/>
        <v>10537</v>
      </c>
    </row>
    <row r="18" spans="1:9" x14ac:dyDescent="0.3">
      <c r="A18" s="277" t="s">
        <v>404</v>
      </c>
      <c r="B18" s="36"/>
      <c r="C18" s="36"/>
      <c r="D18" s="36">
        <f>'[2]Combined Summary-Proof'!$P$121</f>
        <v>336</v>
      </c>
      <c r="E18" s="36">
        <f>'[2]Combined Summary-Proof'!$S$121</f>
        <v>0</v>
      </c>
      <c r="F18" s="36">
        <f>'[2]Combined Summary-Proof'!$L$121</f>
        <v>0</v>
      </c>
      <c r="G18" s="36">
        <f t="shared" si="0"/>
        <v>336</v>
      </c>
    </row>
    <row r="19" spans="1:9" x14ac:dyDescent="0.3">
      <c r="A19" s="277" t="s">
        <v>403</v>
      </c>
      <c r="B19" s="36"/>
      <c r="C19" s="36"/>
      <c r="D19" s="36">
        <f>'[2]Combined Summary-Proof'!$P$128</f>
        <v>4148</v>
      </c>
      <c r="E19" s="36">
        <f>'[2]Combined Summary-Proof'!$S$128</f>
        <v>7500</v>
      </c>
      <c r="F19" s="36">
        <f>+'[2]Combined Summary-Proof'!$L$128+'[2]Combined Summary-Proof'!$M$128</f>
        <v>12812</v>
      </c>
      <c r="G19" s="36">
        <f t="shared" si="0"/>
        <v>24460</v>
      </c>
    </row>
    <row r="20" spans="1:9" x14ac:dyDescent="0.3">
      <c r="A20" s="277" t="s">
        <v>413</v>
      </c>
      <c r="B20" s="36">
        <f>'[2]Combined Summary-Proof'!K161</f>
        <v>800</v>
      </c>
      <c r="C20" s="36"/>
      <c r="D20" s="36"/>
      <c r="E20" s="36"/>
      <c r="F20" s="36"/>
      <c r="G20" s="36">
        <f t="shared" si="0"/>
        <v>800</v>
      </c>
    </row>
    <row r="21" spans="1:9" x14ac:dyDescent="0.3">
      <c r="A21" s="277" t="s">
        <v>414</v>
      </c>
      <c r="B21" s="36">
        <f>'[2]Combined Summary-Proof'!K162</f>
        <v>186</v>
      </c>
      <c r="C21" s="36"/>
      <c r="D21" s="36"/>
      <c r="E21" s="36"/>
      <c r="F21" s="36"/>
      <c r="G21" s="36">
        <f t="shared" si="0"/>
        <v>186</v>
      </c>
    </row>
    <row r="22" spans="1:9" x14ac:dyDescent="0.3">
      <c r="A22" s="277" t="s">
        <v>415</v>
      </c>
      <c r="B22" s="36">
        <f>'[2]Combined Summary-Proof'!K164</f>
        <v>2720</v>
      </c>
      <c r="C22" s="36"/>
      <c r="D22" s="36"/>
      <c r="E22" s="36"/>
      <c r="F22" s="36"/>
      <c r="G22" s="36">
        <f t="shared" si="0"/>
        <v>2720</v>
      </c>
    </row>
    <row r="23" spans="1:9" x14ac:dyDescent="0.3">
      <c r="A23" s="277" t="s">
        <v>416</v>
      </c>
      <c r="B23" s="36">
        <f>'[2]Combined Summary-Proof'!K165</f>
        <v>792</v>
      </c>
      <c r="C23" s="36"/>
      <c r="D23" s="36"/>
      <c r="E23" s="36"/>
      <c r="F23" s="36"/>
      <c r="G23" s="36">
        <f t="shared" si="0"/>
        <v>792</v>
      </c>
    </row>
    <row r="24" spans="1:9" x14ac:dyDescent="0.3">
      <c r="A24" s="277" t="s">
        <v>417</v>
      </c>
      <c r="B24" s="36">
        <f>'[2]Combined Summary-Proof'!K166</f>
        <v>650</v>
      </c>
      <c r="C24" s="36"/>
      <c r="D24" s="36"/>
      <c r="E24" s="36"/>
      <c r="F24" s="36"/>
      <c r="G24" s="36">
        <f t="shared" si="0"/>
        <v>650</v>
      </c>
    </row>
    <row r="25" spans="1:9" x14ac:dyDescent="0.3">
      <c r="A25" s="277" t="s">
        <v>396</v>
      </c>
      <c r="B25" s="36">
        <f>'[2]Combined Summary-Proof'!K167</f>
        <v>1000</v>
      </c>
      <c r="C25" s="36"/>
      <c r="D25" s="36"/>
      <c r="E25" s="36"/>
      <c r="F25" s="36"/>
      <c r="G25" s="36">
        <f t="shared" si="0"/>
        <v>1000</v>
      </c>
      <c r="H25" s="127"/>
      <c r="I25" s="277"/>
    </row>
    <row r="26" spans="1:9" x14ac:dyDescent="0.3">
      <c r="A26" s="277" t="s">
        <v>418</v>
      </c>
      <c r="B26" s="36">
        <f>'[2]Combined Summary-Proof'!K169</f>
        <v>8778</v>
      </c>
      <c r="C26" s="36"/>
      <c r="D26" s="36"/>
      <c r="E26" s="36"/>
      <c r="F26" s="36"/>
      <c r="G26" s="36">
        <f t="shared" si="0"/>
        <v>8778</v>
      </c>
    </row>
    <row r="27" spans="1:9" x14ac:dyDescent="0.3">
      <c r="A27" s="277" t="s">
        <v>419</v>
      </c>
      <c r="B27" s="36">
        <f>'[2]Combined Summary-Proof'!K170</f>
        <v>2160</v>
      </c>
      <c r="C27" s="36"/>
      <c r="D27" s="36"/>
      <c r="E27" s="36"/>
      <c r="F27" s="36"/>
      <c r="G27" s="36">
        <f t="shared" si="0"/>
        <v>2160</v>
      </c>
    </row>
    <row r="28" spans="1:9" x14ac:dyDescent="0.3">
      <c r="A28" s="277" t="s">
        <v>420</v>
      </c>
      <c r="B28" s="36">
        <f>'[2]Combined Summary-Proof'!K171</f>
        <v>1271</v>
      </c>
      <c r="C28" s="36"/>
      <c r="D28" s="36"/>
      <c r="E28" s="36"/>
      <c r="F28" s="36"/>
      <c r="G28" s="36">
        <f t="shared" si="0"/>
        <v>1271</v>
      </c>
    </row>
    <row r="29" spans="1:9" x14ac:dyDescent="0.3">
      <c r="A29" s="277" t="s">
        <v>421</v>
      </c>
      <c r="B29" s="36">
        <f>'[2]Combined Summary-Proof'!$K$174</f>
        <v>564</v>
      </c>
      <c r="C29" s="36"/>
      <c r="D29" s="36"/>
      <c r="E29" s="36"/>
      <c r="F29" s="36"/>
      <c r="G29" s="36">
        <f t="shared" si="0"/>
        <v>564</v>
      </c>
    </row>
    <row r="30" spans="1:9" x14ac:dyDescent="0.3">
      <c r="A30" s="277" t="s">
        <v>422</v>
      </c>
      <c r="B30" s="36">
        <f>'[2]Combined Summary-Proof'!$K$177</f>
        <v>6832</v>
      </c>
      <c r="C30" s="36"/>
      <c r="D30" s="36"/>
      <c r="E30" s="36"/>
      <c r="F30" s="36"/>
      <c r="G30" s="36">
        <f t="shared" si="0"/>
        <v>6832</v>
      </c>
    </row>
    <row r="31" spans="1:9" x14ac:dyDescent="0.3">
      <c r="A31" s="277" t="s">
        <v>423</v>
      </c>
      <c r="B31" s="36">
        <f>'[2]Combined Summary-Proof'!$K$179</f>
        <v>500</v>
      </c>
      <c r="C31" s="36"/>
      <c r="D31" s="36"/>
      <c r="E31" s="36"/>
      <c r="F31" s="36"/>
      <c r="G31" s="36">
        <f t="shared" si="0"/>
        <v>500</v>
      </c>
    </row>
    <row r="32" spans="1:9" x14ac:dyDescent="0.3">
      <c r="A32" s="277" t="s">
        <v>424</v>
      </c>
      <c r="C32" s="36">
        <f>+'[2]Combined Summary-Proof'!$I$196+'[2]Combined Summary-Proof'!$J$196</f>
        <v>6732</v>
      </c>
      <c r="D32" s="36"/>
      <c r="E32" s="36"/>
      <c r="F32" s="36"/>
      <c r="G32" s="36">
        <f t="shared" si="0"/>
        <v>6732</v>
      </c>
    </row>
    <row r="33" spans="1:7" x14ac:dyDescent="0.3">
      <c r="A33" s="277" t="s">
        <v>425</v>
      </c>
      <c r="C33" s="36">
        <f>+'[2]Combined Summary-Proof'!$I$198+'[2]Combined Summary-Proof'!$J$198</f>
        <v>2047</v>
      </c>
      <c r="D33" s="36"/>
      <c r="E33" s="36"/>
      <c r="F33" s="36"/>
      <c r="G33" s="36">
        <f t="shared" si="0"/>
        <v>2047</v>
      </c>
    </row>
    <row r="34" spans="1:7" x14ac:dyDescent="0.3">
      <c r="A34" s="277" t="s">
        <v>426</v>
      </c>
      <c r="C34" s="36">
        <f>+'[2]Combined Summary-Proof'!$I$201+'[2]Combined Summary-Proof'!$J$201</f>
        <v>4200</v>
      </c>
      <c r="D34" s="36"/>
      <c r="E34" s="36"/>
      <c r="F34" s="36"/>
      <c r="G34" s="36">
        <f t="shared" ref="G34:G41" si="1">SUM(C34:F34)</f>
        <v>4200</v>
      </c>
    </row>
    <row r="35" spans="1:7" x14ac:dyDescent="0.3">
      <c r="A35" s="277" t="s">
        <v>427</v>
      </c>
      <c r="C35" s="36">
        <f>+'[2]Combined Summary-Proof'!$I$202+'[2]Combined Summary-Proof'!$J$202</f>
        <v>2457</v>
      </c>
      <c r="D35" s="36"/>
      <c r="E35" s="36"/>
      <c r="F35" s="36"/>
      <c r="G35" s="36">
        <f t="shared" si="1"/>
        <v>2457</v>
      </c>
    </row>
    <row r="36" spans="1:7" x14ac:dyDescent="0.3">
      <c r="A36" s="277" t="s">
        <v>428</v>
      </c>
      <c r="C36" s="36">
        <f>+'[2]Combined Summary-Proof'!$I$203</f>
        <v>650</v>
      </c>
      <c r="D36" s="36"/>
      <c r="E36" s="36"/>
      <c r="F36" s="36"/>
      <c r="G36" s="36">
        <f t="shared" si="1"/>
        <v>650</v>
      </c>
    </row>
    <row r="37" spans="1:7" x14ac:dyDescent="0.3">
      <c r="A37" s="277" t="s">
        <v>429</v>
      </c>
      <c r="C37" s="36">
        <f>'[2]Combined Summary-Proof'!I205</f>
        <v>8778</v>
      </c>
      <c r="D37" s="36"/>
      <c r="E37" s="36"/>
      <c r="F37" s="36"/>
      <c r="G37" s="36">
        <f t="shared" si="1"/>
        <v>8778</v>
      </c>
    </row>
    <row r="38" spans="1:7" x14ac:dyDescent="0.3">
      <c r="A38" s="277" t="s">
        <v>430</v>
      </c>
      <c r="C38" s="36">
        <f>'[2]Combined Summary-Proof'!I206</f>
        <v>2160</v>
      </c>
      <c r="D38" s="36"/>
      <c r="E38" s="36"/>
      <c r="F38" s="36"/>
      <c r="G38" s="36">
        <f t="shared" si="1"/>
        <v>2160</v>
      </c>
    </row>
    <row r="39" spans="1:7" x14ac:dyDescent="0.3">
      <c r="A39" s="277" t="s">
        <v>431</v>
      </c>
      <c r="C39" s="36">
        <f>'[2]Combined Summary-Proof'!I207</f>
        <v>1271</v>
      </c>
      <c r="D39" s="36"/>
      <c r="E39" s="36"/>
      <c r="F39" s="36"/>
      <c r="G39" s="36">
        <f t="shared" si="1"/>
        <v>1271</v>
      </c>
    </row>
    <row r="40" spans="1:7" x14ac:dyDescent="0.3">
      <c r="A40" s="277" t="s">
        <v>432</v>
      </c>
      <c r="C40" s="36">
        <f>'[2]Combined Summary-Proof'!$I$210</f>
        <v>564</v>
      </c>
      <c r="D40" s="36"/>
      <c r="E40" s="36"/>
      <c r="F40" s="36"/>
      <c r="G40" s="36">
        <f t="shared" si="1"/>
        <v>564</v>
      </c>
    </row>
    <row r="41" spans="1:7" x14ac:dyDescent="0.3">
      <c r="A41" s="277" t="s">
        <v>433</v>
      </c>
      <c r="C41" s="36">
        <f>+'[2]Combined Summary-Proof'!$I$216+'[2]Combined Summary-Proof'!$J$216</f>
        <v>15368.33</v>
      </c>
      <c r="D41" s="36"/>
      <c r="E41" s="36"/>
      <c r="F41" s="36"/>
      <c r="G41" s="36">
        <f t="shared" si="1"/>
        <v>15368.33</v>
      </c>
    </row>
    <row r="42" spans="1:7" x14ac:dyDescent="0.3">
      <c r="A42" s="277"/>
      <c r="B42" s="36"/>
      <c r="C42" s="36"/>
      <c r="D42" s="36"/>
      <c r="E42" s="36"/>
      <c r="F42" s="36"/>
      <c r="G42" s="36"/>
    </row>
    <row r="43" spans="1:7" x14ac:dyDescent="0.3">
      <c r="A43" s="277"/>
      <c r="B43" s="36">
        <f t="shared" ref="B43:G43" si="2">SUM(B2:B41)</f>
        <v>26253</v>
      </c>
      <c r="C43" s="36">
        <f t="shared" si="2"/>
        <v>44427.33</v>
      </c>
      <c r="D43" s="36">
        <f t="shared" si="2"/>
        <v>28117.8</v>
      </c>
      <c r="E43" s="36">
        <f t="shared" si="2"/>
        <v>121421</v>
      </c>
      <c r="F43" s="36">
        <f t="shared" si="2"/>
        <v>16792</v>
      </c>
      <c r="G43" s="36">
        <f t="shared" si="2"/>
        <v>237011.12999999998</v>
      </c>
    </row>
    <row r="44" spans="1:7" x14ac:dyDescent="0.3">
      <c r="A44" s="277"/>
    </row>
    <row r="45" spans="1:7" x14ac:dyDescent="0.3">
      <c r="A45" s="277"/>
    </row>
    <row r="46" spans="1:7" x14ac:dyDescent="0.3">
      <c r="A46" s="277"/>
    </row>
    <row r="47" spans="1:7" x14ac:dyDescent="0.3">
      <c r="A47" s="83" t="s">
        <v>434</v>
      </c>
    </row>
    <row r="48" spans="1:7" x14ac:dyDescent="0.3">
      <c r="A48" s="83" t="s">
        <v>183</v>
      </c>
    </row>
    <row r="49" spans="1:1" x14ac:dyDescent="0.3">
      <c r="A49" s="41" t="s">
        <v>138</v>
      </c>
    </row>
    <row r="50" spans="1:1" x14ac:dyDescent="0.3">
      <c r="A50" s="41" t="s">
        <v>142</v>
      </c>
    </row>
  </sheetData>
  <sortState xmlns:xlrd2="http://schemas.microsoft.com/office/spreadsheetml/2017/richdata2" ref="A2:I41">
    <sortCondition ref="A2:A4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F25"/>
  <sheetViews>
    <sheetView workbookViewId="0">
      <selection activeCell="D2" sqref="D2"/>
    </sheetView>
  </sheetViews>
  <sheetFormatPr defaultRowHeight="14.4" x14ac:dyDescent="0.3"/>
  <cols>
    <col min="1" max="1" width="32.33203125" bestFit="1" customWidth="1"/>
    <col min="2" max="3" width="12.33203125" customWidth="1"/>
    <col min="4" max="4" width="15.44140625" customWidth="1"/>
    <col min="5" max="5" width="12.5546875" bestFit="1" customWidth="1"/>
    <col min="6" max="6" width="11.33203125" bestFit="1" customWidth="1"/>
  </cols>
  <sheetData>
    <row r="1" spans="1:6" ht="15" thickBot="1" x14ac:dyDescent="0.35">
      <c r="A1" s="279" t="s">
        <v>360</v>
      </c>
      <c r="B1" s="285" t="s">
        <v>5</v>
      </c>
      <c r="C1" s="285" t="s">
        <v>6</v>
      </c>
      <c r="D1" s="286" t="s">
        <v>439</v>
      </c>
      <c r="E1" s="286" t="s">
        <v>7</v>
      </c>
    </row>
    <row r="2" spans="1:6" x14ac:dyDescent="0.3">
      <c r="A2" s="279"/>
      <c r="B2" s="287"/>
      <c r="C2" s="287"/>
      <c r="D2" s="288"/>
      <c r="E2" s="288"/>
    </row>
    <row r="3" spans="1:6" x14ac:dyDescent="0.3">
      <c r="A3" s="277" t="s">
        <v>361</v>
      </c>
      <c r="B3" s="36">
        <f>'[2]Combined Summary-Proof'!$S$60</f>
        <v>5000</v>
      </c>
      <c r="C3" s="36"/>
      <c r="D3" s="36"/>
      <c r="E3" s="36">
        <f>SUM(B3:D3)</f>
        <v>5000</v>
      </c>
    </row>
    <row r="4" spans="1:6" x14ac:dyDescent="0.3">
      <c r="A4" s="277" t="s">
        <v>362</v>
      </c>
      <c r="B4" s="36"/>
      <c r="C4" s="36"/>
      <c r="D4" s="36"/>
      <c r="E4" s="36">
        <f>SUM(B4:D4)</f>
        <v>0</v>
      </c>
    </row>
    <row r="5" spans="1:6" x14ac:dyDescent="0.3">
      <c r="A5" s="277" t="s">
        <v>363</v>
      </c>
      <c r="C5" s="36">
        <f>'[2]Combined Summary-Proof'!$L$62</f>
        <v>1500</v>
      </c>
      <c r="D5" s="36"/>
      <c r="E5" s="36">
        <f>SUM(C5:D5)</f>
        <v>1500</v>
      </c>
    </row>
    <row r="6" spans="1:6" x14ac:dyDescent="0.3">
      <c r="A6" s="277" t="s">
        <v>364</v>
      </c>
      <c r="B6" s="36">
        <f>'[2]Combined Summary-Proof'!$L$63</f>
        <v>15000</v>
      </c>
      <c r="C6" s="36"/>
      <c r="D6" s="36"/>
      <c r="E6" s="36">
        <f t="shared" ref="E6:E23" si="0">SUM(B6:D6)</f>
        <v>15000</v>
      </c>
      <c r="F6" s="281">
        <f>+E6-'FC-Final P&amp;L'!$P$102</f>
        <v>0</v>
      </c>
    </row>
    <row r="7" spans="1:6" x14ac:dyDescent="0.3">
      <c r="A7" s="277" t="s">
        <v>365</v>
      </c>
      <c r="B7" s="36"/>
      <c r="C7" s="36"/>
      <c r="D7" s="36">
        <f>'[2]Combined Summary-Proof'!$R$64</f>
        <v>7500</v>
      </c>
      <c r="E7" s="36">
        <f t="shared" si="0"/>
        <v>7500</v>
      </c>
      <c r="F7" s="281">
        <f>+E7-'FC-Final P&amp;L'!$P$46</f>
        <v>0</v>
      </c>
    </row>
    <row r="8" spans="1:6" x14ac:dyDescent="0.3">
      <c r="A8" s="277" t="s">
        <v>367</v>
      </c>
      <c r="B8" s="36"/>
      <c r="C8" s="36"/>
      <c r="D8" s="36">
        <f>'[2]Combined Summary-Proof'!$N$71</f>
        <v>1665</v>
      </c>
      <c r="E8" s="36">
        <f t="shared" si="0"/>
        <v>1665</v>
      </c>
      <c r="F8" s="281">
        <f>+E8-'FC-Final P&amp;L'!$P$47</f>
        <v>0</v>
      </c>
    </row>
    <row r="9" spans="1:6" x14ac:dyDescent="0.3">
      <c r="A9" s="277" t="s">
        <v>368</v>
      </c>
      <c r="B9" s="36">
        <f>+'[2]Combined Summary-Proof'!$S$72</f>
        <v>4500</v>
      </c>
      <c r="C9" s="36">
        <f>'[2]Combined Summary-Proof'!M72</f>
        <v>4600</v>
      </c>
      <c r="D9" s="36"/>
      <c r="E9" s="36">
        <f t="shared" si="0"/>
        <v>9100</v>
      </c>
      <c r="F9" s="281">
        <f>+E9-'FC-Final P&amp;L'!$P$100</f>
        <v>0</v>
      </c>
    </row>
    <row r="10" spans="1:6" x14ac:dyDescent="0.3">
      <c r="A10" s="277" t="s">
        <v>369</v>
      </c>
      <c r="B10" s="36"/>
      <c r="C10" s="36">
        <f>'[2]Combined Summary-Proof'!M73</f>
        <v>10000</v>
      </c>
      <c r="D10" s="36"/>
      <c r="E10" s="36">
        <f t="shared" si="0"/>
        <v>10000</v>
      </c>
      <c r="F10" s="281">
        <f>+E10-'FC-Final P&amp;L'!$P$99</f>
        <v>0</v>
      </c>
    </row>
    <row r="11" spans="1:6" x14ac:dyDescent="0.3">
      <c r="A11" s="277" t="s">
        <v>370</v>
      </c>
      <c r="B11" s="36"/>
      <c r="C11" s="36"/>
      <c r="D11" s="36">
        <f>'[2]Combined Summary-Proof'!$N$75</f>
        <v>1400</v>
      </c>
      <c r="E11" s="36">
        <f t="shared" si="0"/>
        <v>1400</v>
      </c>
    </row>
    <row r="12" spans="1:6" x14ac:dyDescent="0.3">
      <c r="A12" s="277" t="s">
        <v>371</v>
      </c>
      <c r="B12" s="36"/>
      <c r="C12" s="36"/>
      <c r="D12" s="36">
        <f>'[2]Combined Summary-Proof'!$N$76</f>
        <v>1200</v>
      </c>
      <c r="E12" s="36">
        <f t="shared" si="0"/>
        <v>1200</v>
      </c>
    </row>
    <row r="13" spans="1:6" x14ac:dyDescent="0.3">
      <c r="A13" s="277" t="s">
        <v>373</v>
      </c>
      <c r="B13" s="36"/>
      <c r="C13" s="36"/>
      <c r="D13" s="36">
        <f>'[2]Combined Summary-Proof'!$O$79</f>
        <v>4099</v>
      </c>
      <c r="E13" s="36">
        <f t="shared" si="0"/>
        <v>4099</v>
      </c>
    </row>
    <row r="14" spans="1:6" x14ac:dyDescent="0.3">
      <c r="A14" s="278" t="s">
        <v>372</v>
      </c>
      <c r="B14" s="36"/>
      <c r="C14" s="36">
        <f>'[2]Combined Summary-Proof'!$M$77</f>
        <v>600</v>
      </c>
      <c r="D14" s="36"/>
      <c r="E14" s="36">
        <f t="shared" si="0"/>
        <v>600</v>
      </c>
    </row>
    <row r="15" spans="1:6" x14ac:dyDescent="0.3">
      <c r="A15" s="277" t="s">
        <v>374</v>
      </c>
      <c r="B15" s="36">
        <f>'[2]Combined Summary-Proof'!$S$120</f>
        <v>8000</v>
      </c>
      <c r="C15" s="36">
        <f>'[2]Combined Summary-Proof'!$L$120</f>
        <v>0</v>
      </c>
      <c r="D15" s="36"/>
      <c r="E15" s="36">
        <f t="shared" si="0"/>
        <v>8000</v>
      </c>
    </row>
    <row r="16" spans="1:6" x14ac:dyDescent="0.3">
      <c r="A16" s="277" t="s">
        <v>375</v>
      </c>
      <c r="B16" s="36"/>
      <c r="C16" s="36"/>
      <c r="D16" s="36">
        <f>'[2]Combined Summary-Proof'!$N$82</f>
        <v>195</v>
      </c>
      <c r="E16" s="36">
        <f t="shared" si="0"/>
        <v>195</v>
      </c>
    </row>
    <row r="17" spans="1:5" x14ac:dyDescent="0.3">
      <c r="A17" s="277" t="s">
        <v>376</v>
      </c>
      <c r="B17" s="36">
        <f>'[2]Combined Summary-Proof'!S114</f>
        <v>10635.36</v>
      </c>
      <c r="C17" s="36">
        <f>'[2]Combined Summary-Proof'!L114</f>
        <v>0</v>
      </c>
      <c r="D17" s="36"/>
      <c r="E17" s="36">
        <f t="shared" si="0"/>
        <v>10635.36</v>
      </c>
    </row>
    <row r="18" spans="1:5" x14ac:dyDescent="0.3">
      <c r="A18" s="277" t="s">
        <v>377</v>
      </c>
      <c r="B18" s="36">
        <f>'[2]Combined Summary-Proof'!S115</f>
        <v>557</v>
      </c>
      <c r="C18" s="36">
        <f>'[2]Combined Summary-Proof'!L115</f>
        <v>779</v>
      </c>
      <c r="D18" s="36"/>
      <c r="E18" s="36">
        <f t="shared" si="0"/>
        <v>1336</v>
      </c>
    </row>
    <row r="19" spans="1:5" x14ac:dyDescent="0.3">
      <c r="A19" s="277" t="s">
        <v>378</v>
      </c>
      <c r="B19" s="36">
        <f>'[2]Combined Summary-Proof'!S117</f>
        <v>14250</v>
      </c>
      <c r="C19" s="36">
        <f>'[2]Combined Summary-Proof'!L117</f>
        <v>1100</v>
      </c>
      <c r="D19" s="36"/>
      <c r="E19" s="36">
        <f t="shared" si="0"/>
        <v>15350</v>
      </c>
    </row>
    <row r="20" spans="1:5" x14ac:dyDescent="0.3">
      <c r="A20" s="277" t="s">
        <v>379</v>
      </c>
      <c r="B20" s="36">
        <f>'[2]Combined Summary-Proof'!S118</f>
        <v>10000</v>
      </c>
      <c r="C20" s="36">
        <f>'[2]Combined Summary-Proof'!L118</f>
        <v>1000</v>
      </c>
      <c r="D20" s="36"/>
      <c r="E20" s="36">
        <f t="shared" si="0"/>
        <v>11000</v>
      </c>
    </row>
    <row r="21" spans="1:5" x14ac:dyDescent="0.3">
      <c r="A21" s="277" t="s">
        <v>380</v>
      </c>
      <c r="B21" s="36"/>
      <c r="C21" s="36">
        <f>'[2]Combined Summary-Proof'!$L$123</f>
        <v>1000</v>
      </c>
      <c r="D21" s="36"/>
      <c r="E21" s="36">
        <f t="shared" si="0"/>
        <v>1000</v>
      </c>
    </row>
    <row r="22" spans="1:5" x14ac:dyDescent="0.3">
      <c r="B22" s="36"/>
      <c r="C22" s="36"/>
      <c r="D22" s="36"/>
      <c r="E22" s="36">
        <f t="shared" si="0"/>
        <v>0</v>
      </c>
    </row>
    <row r="23" spans="1:5" x14ac:dyDescent="0.3">
      <c r="B23" s="280">
        <f>SUM(B3:B22)</f>
        <v>67942.36</v>
      </c>
      <c r="C23" s="280">
        <f>SUM(C3:C22)</f>
        <v>20579</v>
      </c>
      <c r="D23" s="280">
        <f>SUM(D3:D22)</f>
        <v>16059</v>
      </c>
      <c r="E23" s="281">
        <f t="shared" si="0"/>
        <v>104580.36</v>
      </c>
    </row>
    <row r="25" spans="1:5" x14ac:dyDescent="0.3">
      <c r="E25" s="281">
        <f>104581-E23</f>
        <v>0.63999999999941792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14"/>
  <sheetViews>
    <sheetView zoomScale="120" zoomScaleNormal="120" workbookViewId="0">
      <pane ySplit="3" topLeftCell="A4" activePane="bottomLeft" state="frozen"/>
      <selection pane="bottomLeft" activeCell="A4" sqref="A4"/>
    </sheetView>
  </sheetViews>
  <sheetFormatPr defaultColWidth="8.6640625" defaultRowHeight="13.8" x14ac:dyDescent="0.25"/>
  <cols>
    <col min="1" max="1" width="3.33203125" style="150" customWidth="1"/>
    <col min="2" max="2" width="8.6640625" style="151" customWidth="1"/>
    <col min="3" max="3" width="33.6640625" style="151" customWidth="1"/>
    <col min="4" max="8" width="14.6640625" style="149" hidden="1" customWidth="1"/>
    <col min="9" max="9" width="15.44140625" style="149" hidden="1" customWidth="1"/>
    <col min="10" max="15" width="14.6640625" style="149" hidden="1" customWidth="1"/>
    <col min="16" max="16" width="19.33203125" style="149" customWidth="1"/>
    <col min="17" max="17" width="11.5546875" style="149" hidden="1" customWidth="1"/>
    <col min="18" max="18" width="12.44140625" style="149" hidden="1" customWidth="1"/>
    <col min="19" max="19" width="13.5546875" style="149" hidden="1" customWidth="1"/>
    <col min="20" max="20" width="14.44140625" style="149" hidden="1" customWidth="1"/>
    <col min="21" max="21" width="13.5546875" style="149" hidden="1" customWidth="1"/>
    <col min="22" max="22" width="26" style="149" customWidth="1"/>
    <col min="23" max="23" width="13.5546875" style="149" bestFit="1" customWidth="1"/>
    <col min="24" max="24" width="8.6640625" style="149"/>
    <col min="25" max="25" width="13.5546875" style="149" bestFit="1" customWidth="1"/>
    <col min="26" max="16384" width="8.6640625" style="149"/>
  </cols>
  <sheetData>
    <row r="1" spans="1:23" x14ac:dyDescent="0.25">
      <c r="A1" s="138" t="s">
        <v>251</v>
      </c>
      <c r="B1" s="138"/>
      <c r="C1" s="138"/>
      <c r="D1" s="138"/>
      <c r="E1" s="138"/>
      <c r="F1" s="138"/>
      <c r="G1" s="138"/>
      <c r="H1" s="138"/>
      <c r="I1" s="138"/>
      <c r="J1" s="138"/>
      <c r="K1" s="138"/>
      <c r="L1" s="138"/>
      <c r="M1" s="138"/>
      <c r="N1" s="138"/>
      <c r="O1" s="138"/>
      <c r="P1" s="138"/>
      <c r="Q1" s="138"/>
      <c r="R1" s="138" t="s">
        <v>252</v>
      </c>
      <c r="S1" s="138"/>
      <c r="T1" s="138"/>
      <c r="U1" s="138"/>
    </row>
    <row r="3" spans="1:23" s="152" customFormat="1" x14ac:dyDescent="0.25">
      <c r="B3" s="153" t="s">
        <v>253</v>
      </c>
      <c r="C3" s="153" t="s">
        <v>254</v>
      </c>
      <c r="D3" s="154" t="s">
        <v>45</v>
      </c>
      <c r="E3" s="154" t="s">
        <v>46</v>
      </c>
      <c r="F3" s="154" t="s">
        <v>47</v>
      </c>
      <c r="G3" s="154" t="s">
        <v>48</v>
      </c>
      <c r="H3" s="154" t="s">
        <v>49</v>
      </c>
      <c r="I3" s="154" t="s">
        <v>50</v>
      </c>
      <c r="J3" s="154" t="s">
        <v>51</v>
      </c>
      <c r="K3" s="154" t="s">
        <v>52</v>
      </c>
      <c r="L3" s="154" t="s">
        <v>53</v>
      </c>
      <c r="M3" s="154" t="s">
        <v>54</v>
      </c>
      <c r="N3" s="154" t="s">
        <v>55</v>
      </c>
      <c r="O3" s="154" t="s">
        <v>56</v>
      </c>
      <c r="P3" s="155" t="s">
        <v>7</v>
      </c>
      <c r="Q3" s="154" t="s">
        <v>255</v>
      </c>
      <c r="R3" s="154" t="s">
        <v>256</v>
      </c>
      <c r="S3" s="154" t="s">
        <v>257</v>
      </c>
      <c r="T3" s="154" t="s">
        <v>258</v>
      </c>
      <c r="U3" s="154" t="s">
        <v>259</v>
      </c>
      <c r="V3" s="156" t="s">
        <v>260</v>
      </c>
    </row>
    <row r="4" spans="1:23" ht="28.8" x14ac:dyDescent="0.3">
      <c r="A4" s="157"/>
      <c r="B4" s="158">
        <v>4010</v>
      </c>
      <c r="C4" s="158" t="s">
        <v>261</v>
      </c>
      <c r="D4" s="159">
        <f>'[2]Combined Overview'!I9</f>
        <v>10750</v>
      </c>
      <c r="E4" s="159">
        <f>'[2]Combined Overview'!J9</f>
        <v>10250</v>
      </c>
      <c r="F4" s="159">
        <f>'[2]Combined Overview'!K9</f>
        <v>21250</v>
      </c>
      <c r="G4" s="159">
        <f>'[2]Combined Overview'!L9</f>
        <v>12750</v>
      </c>
      <c r="H4" s="159">
        <f>'[2]Combined Overview'!M9</f>
        <v>27250</v>
      </c>
      <c r="I4" s="159">
        <f>'[2]Combined Overview'!N9</f>
        <v>62250</v>
      </c>
      <c r="J4" s="159">
        <f>'[2]Combined Overview'!O9</f>
        <v>22250</v>
      </c>
      <c r="K4" s="159">
        <f>'[2]Combined Overview'!P9</f>
        <v>21250</v>
      </c>
      <c r="L4" s="159">
        <f>'[2]Combined Overview'!Q9</f>
        <v>11250</v>
      </c>
      <c r="M4" s="159">
        <f>'[2]Combined Overview'!R9</f>
        <v>9250</v>
      </c>
      <c r="N4" s="159">
        <f>'[2]Combined Overview'!S9</f>
        <v>8250</v>
      </c>
      <c r="O4" s="159">
        <f>'[2]Combined Overview'!T9</f>
        <v>8250</v>
      </c>
      <c r="P4" s="210">
        <f t="shared" ref="P4:P27" si="0">ROUNDUP(SUM(D4:O4),0)</f>
        <v>225000</v>
      </c>
      <c r="Q4" s="211"/>
      <c r="R4" s="211"/>
      <c r="S4" s="211">
        <v>210000</v>
      </c>
      <c r="T4" s="211">
        <f>'[2]Combined Overview'!Y9</f>
        <v>194773.61</v>
      </c>
      <c r="U4" s="211">
        <f>'[2]Combined Overview'!Z9</f>
        <v>206000</v>
      </c>
      <c r="V4" s="212" t="s">
        <v>262</v>
      </c>
      <c r="W4" s="208"/>
    </row>
    <row r="5" spans="1:23" ht="53.25" customHeight="1" x14ac:dyDescent="0.25">
      <c r="A5" s="157"/>
      <c r="B5" s="158">
        <v>4020</v>
      </c>
      <c r="C5" s="158" t="s">
        <v>263</v>
      </c>
      <c r="D5" s="159">
        <f>'[2]Combined Overview'!I10</f>
        <v>10500</v>
      </c>
      <c r="E5" s="159">
        <f>'[2]Combined Overview'!J10</f>
        <v>500</v>
      </c>
      <c r="F5" s="159">
        <f>'[2]Combined Overview'!K10</f>
        <v>45500</v>
      </c>
      <c r="G5" s="159">
        <f>'[2]Combined Overview'!L10</f>
        <v>500</v>
      </c>
      <c r="H5" s="159">
        <f>'[2]Combined Overview'!M10</f>
        <v>500</v>
      </c>
      <c r="I5" s="159">
        <f>'[2]Combined Overview'!N10</f>
        <v>52500</v>
      </c>
      <c r="J5" s="159">
        <f>'[2]Combined Overview'!O10</f>
        <v>500</v>
      </c>
      <c r="K5" s="159">
        <f>'[2]Combined Overview'!P10</f>
        <v>500</v>
      </c>
      <c r="L5" s="159">
        <f>'[2]Combined Overview'!Q10</f>
        <v>45500</v>
      </c>
      <c r="M5" s="159">
        <f>'[2]Combined Overview'!R10</f>
        <v>500</v>
      </c>
      <c r="N5" s="159">
        <f>'[2]Combined Overview'!S10</f>
        <v>500</v>
      </c>
      <c r="O5" s="159">
        <f>'[2]Combined Overview'!T10</f>
        <v>120500</v>
      </c>
      <c r="P5" s="210">
        <f t="shared" si="0"/>
        <v>278000</v>
      </c>
      <c r="Q5" s="211"/>
      <c r="R5" s="211"/>
      <c r="S5" s="211">
        <v>23000</v>
      </c>
      <c r="T5" s="211">
        <f>'[2]Combined Overview'!Y10</f>
        <v>80015.490000000005</v>
      </c>
      <c r="U5" s="211">
        <f>'[2]Combined Overview'!Z10</f>
        <v>175000</v>
      </c>
      <c r="V5" s="220" t="s">
        <v>264</v>
      </c>
      <c r="W5" s="208"/>
    </row>
    <row r="6" spans="1:23" ht="32.25" customHeight="1" x14ac:dyDescent="0.3">
      <c r="A6" s="157"/>
      <c r="B6" s="158">
        <v>4030</v>
      </c>
      <c r="C6" s="158" t="s">
        <v>265</v>
      </c>
      <c r="D6" s="159">
        <f>'[2]Combined Overview'!I11</f>
        <v>1750</v>
      </c>
      <c r="E6" s="159">
        <f>'[2]Combined Overview'!J11</f>
        <v>250</v>
      </c>
      <c r="F6" s="159">
        <f>'[2]Combined Overview'!K11</f>
        <v>250</v>
      </c>
      <c r="G6" s="159">
        <f>'[2]Combined Overview'!L11</f>
        <v>1750</v>
      </c>
      <c r="H6" s="159">
        <f>'[2]Combined Overview'!M11</f>
        <v>250</v>
      </c>
      <c r="I6" s="159">
        <f>'[2]Combined Overview'!N11</f>
        <v>250</v>
      </c>
      <c r="J6" s="159">
        <f>'[2]Combined Overview'!O11</f>
        <v>1750</v>
      </c>
      <c r="K6" s="159">
        <f>'[2]Combined Overview'!P11</f>
        <v>250</v>
      </c>
      <c r="L6" s="159">
        <f>'[2]Combined Overview'!Q11</f>
        <v>250</v>
      </c>
      <c r="M6" s="159">
        <f>'[2]Combined Overview'!R11</f>
        <v>1750</v>
      </c>
      <c r="N6" s="159">
        <f>'[2]Combined Overview'!S11</f>
        <v>250</v>
      </c>
      <c r="O6" s="159">
        <f>'[2]Combined Overview'!T11</f>
        <v>15250</v>
      </c>
      <c r="P6" s="210">
        <f t="shared" si="0"/>
        <v>24000</v>
      </c>
      <c r="Q6" s="211"/>
      <c r="R6" s="211"/>
      <c r="S6" s="211">
        <v>9000</v>
      </c>
      <c r="T6" s="211">
        <f>'[2]Combined Overview'!Y11</f>
        <v>11959.33</v>
      </c>
      <c r="U6" s="211">
        <f>'[2]Combined Overview'!Z11</f>
        <v>41000</v>
      </c>
      <c r="V6" s="213" t="s">
        <v>266</v>
      </c>
      <c r="W6" s="208"/>
    </row>
    <row r="7" spans="1:23" ht="11.7" customHeight="1" x14ac:dyDescent="0.25">
      <c r="A7" s="157"/>
      <c r="B7" s="158">
        <v>4035</v>
      </c>
      <c r="C7" s="158" t="s">
        <v>267</v>
      </c>
      <c r="D7" s="159">
        <f>'[2]Combined Overview'!I12</f>
        <v>1250</v>
      </c>
      <c r="E7" s="159">
        <f>'[2]Combined Overview'!J12</f>
        <v>1250</v>
      </c>
      <c r="F7" s="159">
        <f>'[2]Combined Overview'!K12</f>
        <v>1250</v>
      </c>
      <c r="G7" s="159">
        <f>'[2]Combined Overview'!L12</f>
        <v>1250</v>
      </c>
      <c r="H7" s="159">
        <f>'[2]Combined Overview'!M12</f>
        <v>1250</v>
      </c>
      <c r="I7" s="159">
        <f>'[2]Combined Overview'!N12</f>
        <v>1250</v>
      </c>
      <c r="J7" s="159">
        <f>'[2]Combined Overview'!O12</f>
        <v>1250</v>
      </c>
      <c r="K7" s="159">
        <f>'[2]Combined Overview'!P12</f>
        <v>1250</v>
      </c>
      <c r="L7" s="159">
        <f>'[2]Combined Overview'!Q12</f>
        <v>1250</v>
      </c>
      <c r="M7" s="159">
        <f>'[2]Combined Overview'!R12</f>
        <v>1250</v>
      </c>
      <c r="N7" s="159">
        <f>'[2]Combined Overview'!S12</f>
        <v>1250</v>
      </c>
      <c r="O7" s="159">
        <f>'[2]Combined Overview'!T12</f>
        <v>1250</v>
      </c>
      <c r="P7" s="210">
        <f t="shared" si="0"/>
        <v>15000</v>
      </c>
      <c r="Q7" s="211"/>
      <c r="R7" s="211"/>
      <c r="S7" s="211">
        <v>15000</v>
      </c>
      <c r="T7" s="211">
        <f>'[2]Combined Overview'!Y12</f>
        <v>11615.05</v>
      </c>
      <c r="U7" s="211">
        <f>'[2]Combined Overview'!Z12</f>
        <v>12000</v>
      </c>
      <c r="V7" s="208"/>
      <c r="W7" s="214">
        <f>SUM(P4:P7)</f>
        <v>542000</v>
      </c>
    </row>
    <row r="8" spans="1:23" x14ac:dyDescent="0.25">
      <c r="A8" s="157"/>
      <c r="B8" s="158">
        <v>4050</v>
      </c>
      <c r="C8" s="158" t="s">
        <v>268</v>
      </c>
      <c r="D8" s="159">
        <f>'[2]Combined Overview'!I15</f>
        <v>306000</v>
      </c>
      <c r="E8" s="159">
        <f>'[2]Combined Overview'!J15</f>
        <v>0</v>
      </c>
      <c r="F8" s="159">
        <f>'[2]Combined Overview'!K15</f>
        <v>0</v>
      </c>
      <c r="G8" s="159">
        <f>'[2]Combined Overview'!L15</f>
        <v>0</v>
      </c>
      <c r="H8" s="159">
        <f>'[2]Combined Overview'!M15</f>
        <v>0</v>
      </c>
      <c r="I8" s="159">
        <f>'[2]Combined Overview'!N15</f>
        <v>0</v>
      </c>
      <c r="J8" s="159">
        <f>'[2]Combined Overview'!O15</f>
        <v>0</v>
      </c>
      <c r="K8" s="159">
        <f>'[2]Combined Overview'!P15</f>
        <v>0</v>
      </c>
      <c r="L8" s="159">
        <f>'[2]Combined Overview'!Q15</f>
        <v>0</v>
      </c>
      <c r="M8" s="159">
        <f>'[2]Combined Overview'!R15</f>
        <v>0</v>
      </c>
      <c r="N8" s="159">
        <f>'[2]Combined Overview'!S15</f>
        <v>0</v>
      </c>
      <c r="O8" s="159">
        <f>'[2]Combined Overview'!T15</f>
        <v>0</v>
      </c>
      <c r="P8" s="215">
        <f t="shared" si="0"/>
        <v>306000</v>
      </c>
      <c r="Q8" s="216"/>
      <c r="R8" s="216"/>
      <c r="S8" s="216">
        <v>306000</v>
      </c>
      <c r="T8" s="216">
        <f>'[2]Combined Overview'!Y15</f>
        <v>13092.04</v>
      </c>
      <c r="U8" s="216">
        <f>'[2]Combined Overview'!Z15</f>
        <v>300000</v>
      </c>
      <c r="V8" s="209"/>
      <c r="W8" s="209"/>
    </row>
    <row r="9" spans="1:23" ht="11.7" customHeight="1" x14ac:dyDescent="0.25">
      <c r="A9" s="157"/>
      <c r="B9" s="158">
        <v>4055</v>
      </c>
      <c r="C9" s="158" t="s">
        <v>269</v>
      </c>
      <c r="D9" s="159">
        <f>'[2]Combined Overview'!I16</f>
        <v>5000</v>
      </c>
      <c r="E9" s="159">
        <f>'[2]Combined Overview'!J16</f>
        <v>0</v>
      </c>
      <c r="F9" s="159">
        <f>'[2]Combined Overview'!K16</f>
        <v>5000</v>
      </c>
      <c r="G9" s="159">
        <f>'[2]Combined Overview'!L16</f>
        <v>0</v>
      </c>
      <c r="H9" s="159">
        <f>'[2]Combined Overview'!M16</f>
        <v>0</v>
      </c>
      <c r="I9" s="159">
        <f>'[2]Combined Overview'!N16</f>
        <v>105000</v>
      </c>
      <c r="J9" s="159">
        <f>'[2]Combined Overview'!O16</f>
        <v>0</v>
      </c>
      <c r="K9" s="159">
        <f>'[2]Combined Overview'!P16</f>
        <v>0</v>
      </c>
      <c r="L9" s="159">
        <f>'[2]Combined Overview'!Q16</f>
        <v>0</v>
      </c>
      <c r="M9" s="159">
        <f>'[2]Combined Overview'!R16</f>
        <v>0</v>
      </c>
      <c r="N9" s="159">
        <f>'[2]Combined Overview'!S16</f>
        <v>0</v>
      </c>
      <c r="O9" s="159">
        <f>'[2]Combined Overview'!T16</f>
        <v>0</v>
      </c>
      <c r="P9" s="215">
        <f t="shared" si="0"/>
        <v>115000</v>
      </c>
      <c r="Q9" s="216"/>
      <c r="R9" s="216"/>
      <c r="S9" s="216">
        <v>115000</v>
      </c>
      <c r="T9" s="216" t="e">
        <f>'[2]Combined Overview'!Y16</f>
        <v>#REF!</v>
      </c>
      <c r="U9" s="216">
        <f>'[2]Combined Overview'!Z16</f>
        <v>26500</v>
      </c>
      <c r="V9" s="209"/>
      <c r="W9" s="209"/>
    </row>
    <row r="10" spans="1:23" x14ac:dyDescent="0.25">
      <c r="A10" s="157"/>
      <c r="B10" s="158">
        <v>4056</v>
      </c>
      <c r="C10" s="158" t="s">
        <v>270</v>
      </c>
      <c r="D10" s="159">
        <f>'[2]Combined Overview'!I17</f>
        <v>-500</v>
      </c>
      <c r="E10" s="159">
        <f>'[2]Combined Overview'!J17</f>
        <v>0</v>
      </c>
      <c r="F10" s="159">
        <f>'[2]Combined Overview'!K17</f>
        <v>0</v>
      </c>
      <c r="G10" s="159">
        <f>'[2]Combined Overview'!L17</f>
        <v>0</v>
      </c>
      <c r="H10" s="159">
        <f>'[2]Combined Overview'!M17</f>
        <v>0</v>
      </c>
      <c r="I10" s="159">
        <f>'[2]Combined Overview'!N17</f>
        <v>0</v>
      </c>
      <c r="J10" s="159">
        <f>'[2]Combined Overview'!O17</f>
        <v>0</v>
      </c>
      <c r="K10" s="159">
        <f>'[2]Combined Overview'!P17</f>
        <v>0</v>
      </c>
      <c r="L10" s="159">
        <f>'[2]Combined Overview'!Q17</f>
        <v>0</v>
      </c>
      <c r="M10" s="159">
        <f>'[2]Combined Overview'!R17</f>
        <v>0</v>
      </c>
      <c r="N10" s="159">
        <f>'[2]Combined Overview'!S17</f>
        <v>0</v>
      </c>
      <c r="O10" s="159">
        <f>'[2]Combined Overview'!T17</f>
        <v>0</v>
      </c>
      <c r="P10" s="215">
        <f t="shared" si="0"/>
        <v>-500</v>
      </c>
      <c r="Q10" s="216"/>
      <c r="R10" s="216"/>
      <c r="S10" s="216">
        <v>-500</v>
      </c>
      <c r="T10" s="216">
        <f>'[2]Combined Overview'!Y17</f>
        <v>-1650</v>
      </c>
      <c r="U10" s="216">
        <f>'[2]Combined Overview'!Z17</f>
        <v>-2000</v>
      </c>
      <c r="V10" s="209"/>
      <c r="W10" s="209"/>
    </row>
    <row r="11" spans="1:23" ht="11.7" customHeight="1" x14ac:dyDescent="0.25">
      <c r="A11" s="157"/>
      <c r="B11" s="158">
        <v>4080</v>
      </c>
      <c r="C11" s="158" t="s">
        <v>271</v>
      </c>
      <c r="D11" s="159">
        <f>'[2]Combined Overview'!I20</f>
        <v>0</v>
      </c>
      <c r="E11" s="159">
        <f>'[2]Combined Overview'!J20</f>
        <v>0</v>
      </c>
      <c r="F11" s="159">
        <f>'[2]Combined Overview'!K20</f>
        <v>5000</v>
      </c>
      <c r="G11" s="159">
        <f>'[2]Combined Overview'!L20</f>
        <v>0</v>
      </c>
      <c r="H11" s="159">
        <f>'[2]Combined Overview'!M20</f>
        <v>0</v>
      </c>
      <c r="I11" s="159">
        <f>'[2]Combined Overview'!N20</f>
        <v>5000</v>
      </c>
      <c r="J11" s="159">
        <f>'[2]Combined Overview'!O20</f>
        <v>0</v>
      </c>
      <c r="K11" s="159">
        <f>'[2]Combined Overview'!P20</f>
        <v>0</v>
      </c>
      <c r="L11" s="159">
        <f>'[2]Combined Overview'!Q20</f>
        <v>0</v>
      </c>
      <c r="M11" s="159">
        <f>'[2]Combined Overview'!R20</f>
        <v>15000</v>
      </c>
      <c r="N11" s="159">
        <f>'[2]Combined Overview'!S20</f>
        <v>0</v>
      </c>
      <c r="O11" s="159">
        <f>'[2]Combined Overview'!T20</f>
        <v>0</v>
      </c>
      <c r="P11" s="215">
        <f t="shared" si="0"/>
        <v>25000</v>
      </c>
      <c r="Q11" s="216"/>
      <c r="R11" s="216"/>
      <c r="S11" s="216">
        <v>25000</v>
      </c>
      <c r="T11" s="216">
        <f>'[2]Combined Overview'!Y20</f>
        <v>5000</v>
      </c>
      <c r="U11" s="216">
        <f>'[2]Combined Overview'!Z20</f>
        <v>76500</v>
      </c>
      <c r="V11" s="209"/>
      <c r="W11" s="209"/>
    </row>
    <row r="12" spans="1:23" ht="11.7" customHeight="1" x14ac:dyDescent="0.25">
      <c r="A12" s="157"/>
      <c r="B12" s="158">
        <v>4090</v>
      </c>
      <c r="C12" s="158" t="s">
        <v>272</v>
      </c>
      <c r="D12" s="159">
        <f>'[2]Combined Overview'!I21</f>
        <v>0</v>
      </c>
      <c r="E12" s="159">
        <f>'[2]Combined Overview'!J21</f>
        <v>0</v>
      </c>
      <c r="F12" s="159">
        <f>'[2]Combined Overview'!K21</f>
        <v>15000</v>
      </c>
      <c r="G12" s="159">
        <f>'[2]Combined Overview'!L21</f>
        <v>15000</v>
      </c>
      <c r="H12" s="159">
        <f>'[2]Combined Overview'!M21</f>
        <v>0</v>
      </c>
      <c r="I12" s="159">
        <f>'[2]Combined Overview'!N21</f>
        <v>0</v>
      </c>
      <c r="J12" s="159">
        <f>'[2]Combined Overview'!O21</f>
        <v>5000</v>
      </c>
      <c r="K12" s="159">
        <f>'[2]Combined Overview'!P21</f>
        <v>0</v>
      </c>
      <c r="L12" s="159">
        <f>'[2]Combined Overview'!Q21</f>
        <v>0</v>
      </c>
      <c r="M12" s="159">
        <f>'[2]Combined Overview'!R21</f>
        <v>0</v>
      </c>
      <c r="N12" s="159">
        <f>'[2]Combined Overview'!S21</f>
        <v>0</v>
      </c>
      <c r="O12" s="159">
        <f>'[2]Combined Overview'!T21</f>
        <v>20000</v>
      </c>
      <c r="P12" s="215">
        <f t="shared" si="0"/>
        <v>55000</v>
      </c>
      <c r="Q12" s="216"/>
      <c r="R12" s="216"/>
      <c r="S12" s="216">
        <v>35000</v>
      </c>
      <c r="T12" s="216">
        <f>'[2]Combined Overview'!Y21</f>
        <v>10000</v>
      </c>
      <c r="U12" s="216">
        <f>'[2]Combined Overview'!Z21</f>
        <v>30000</v>
      </c>
      <c r="V12" s="209"/>
      <c r="W12" s="217">
        <f>SUM(P8:P12)</f>
        <v>500500</v>
      </c>
    </row>
    <row r="13" spans="1:23" ht="11.7" customHeight="1" x14ac:dyDescent="0.25">
      <c r="A13" s="157"/>
      <c r="B13" s="158">
        <v>4120</v>
      </c>
      <c r="C13" s="158" t="s">
        <v>273</v>
      </c>
      <c r="D13" s="159">
        <f>'[2]Combined Overview'!I25</f>
        <v>0</v>
      </c>
      <c r="E13" s="159">
        <f>'[2]Combined Overview'!J25</f>
        <v>0</v>
      </c>
      <c r="F13" s="159">
        <f>'[2]Combined Overview'!K25</f>
        <v>500</v>
      </c>
      <c r="G13" s="159">
        <f>'[2]Combined Overview'!L25</f>
        <v>1000</v>
      </c>
      <c r="H13" s="159">
        <f>'[2]Combined Overview'!M25</f>
        <v>0</v>
      </c>
      <c r="I13" s="159">
        <f>'[2]Combined Overview'!N25</f>
        <v>0</v>
      </c>
      <c r="J13" s="159">
        <f>'[2]Combined Overview'!O25</f>
        <v>0</v>
      </c>
      <c r="K13" s="159">
        <f>'[2]Combined Overview'!P25</f>
        <v>0</v>
      </c>
      <c r="L13" s="159">
        <f>'[2]Combined Overview'!Q25</f>
        <v>1000</v>
      </c>
      <c r="M13" s="159">
        <f>'[2]Combined Overview'!R25</f>
        <v>0</v>
      </c>
      <c r="N13" s="159">
        <f>'[2]Combined Overview'!S25</f>
        <v>0</v>
      </c>
      <c r="O13" s="159">
        <f>'[2]Combined Overview'!T25</f>
        <v>7150.0000000000009</v>
      </c>
      <c r="P13" s="192">
        <f t="shared" si="0"/>
        <v>9650</v>
      </c>
      <c r="Q13" s="161"/>
      <c r="R13" s="161"/>
      <c r="S13" s="161">
        <v>2500</v>
      </c>
      <c r="T13" s="161">
        <f>'[2]Combined Overview'!Y25</f>
        <v>21508.58</v>
      </c>
      <c r="U13" s="161">
        <f>'[2]Combined Overview'!Z25</f>
        <v>12000</v>
      </c>
      <c r="V13" s="193"/>
    </row>
    <row r="14" spans="1:23" ht="11.7" customHeight="1" x14ac:dyDescent="0.25">
      <c r="A14" s="157"/>
      <c r="B14" s="158">
        <v>4140</v>
      </c>
      <c r="C14" s="158" t="s">
        <v>274</v>
      </c>
      <c r="D14" s="159">
        <f>'[2]Combined Overview'!I26</f>
        <v>1214</v>
      </c>
      <c r="E14" s="159">
        <f>'[2]Combined Overview'!J26</f>
        <v>8128</v>
      </c>
      <c r="F14" s="159">
        <f>'[2]Combined Overview'!K26</f>
        <v>6900</v>
      </c>
      <c r="G14" s="159">
        <f>'[2]Combined Overview'!L26</f>
        <v>3000</v>
      </c>
      <c r="H14" s="159">
        <f>'[2]Combined Overview'!M26</f>
        <v>4106</v>
      </c>
      <c r="I14" s="159">
        <f>'[2]Combined Overview'!N26</f>
        <v>0</v>
      </c>
      <c r="J14" s="159">
        <f>'[2]Combined Overview'!O26</f>
        <v>2428</v>
      </c>
      <c r="K14" s="159">
        <f>'[2]Combined Overview'!P26</f>
        <v>42</v>
      </c>
      <c r="L14" s="159">
        <f>'[2]Combined Overview'!Q26</f>
        <v>3000</v>
      </c>
      <c r="M14" s="159">
        <f>'[2]Combined Overview'!R26</f>
        <v>5128</v>
      </c>
      <c r="N14" s="159">
        <f>'[2]Combined Overview'!S26</f>
        <v>0</v>
      </c>
      <c r="O14" s="159">
        <f>'[2]Combined Overview'!T26</f>
        <v>1242</v>
      </c>
      <c r="P14" s="192">
        <f t="shared" si="0"/>
        <v>35188</v>
      </c>
      <c r="Q14" s="161"/>
      <c r="R14" s="161"/>
      <c r="S14" s="161">
        <v>35188</v>
      </c>
      <c r="T14" s="161">
        <f>'[2]Combined Overview'!Y26</f>
        <v>19310.3</v>
      </c>
      <c r="U14" s="161">
        <f>'[2]Combined Overview'!Z26</f>
        <v>11921</v>
      </c>
      <c r="V14" s="193"/>
    </row>
    <row r="15" spans="1:23" ht="11.7" customHeight="1" x14ac:dyDescent="0.25">
      <c r="A15" s="157"/>
      <c r="B15" s="158">
        <v>4170</v>
      </c>
      <c r="C15" s="158" t="s">
        <v>275</v>
      </c>
      <c r="D15" s="159">
        <f>'[2]Combined Overview'!I30</f>
        <v>32400</v>
      </c>
      <c r="E15" s="159">
        <f>'[2]Combined Overview'!J30</f>
        <v>1412</v>
      </c>
      <c r="F15" s="159">
        <f>'[2]Combined Overview'!K30</f>
        <v>3068</v>
      </c>
      <c r="G15" s="159">
        <f>'[2]Combined Overview'!L30</f>
        <v>5041</v>
      </c>
      <c r="H15" s="159">
        <f>'[2]Combined Overview'!M30</f>
        <v>5323</v>
      </c>
      <c r="I15" s="159">
        <f>'[2]Combined Overview'!N30</f>
        <v>34082</v>
      </c>
      <c r="J15" s="159">
        <f>'[2]Combined Overview'!O30</f>
        <v>1700</v>
      </c>
      <c r="K15" s="159">
        <f>'[2]Combined Overview'!P30</f>
        <v>4753</v>
      </c>
      <c r="L15" s="159">
        <f>'[2]Combined Overview'!Q30</f>
        <v>34082</v>
      </c>
      <c r="M15" s="159">
        <f>'[2]Combined Overview'!R30</f>
        <v>300</v>
      </c>
      <c r="N15" s="159">
        <f>'[2]Combined Overview'!S30</f>
        <v>16200</v>
      </c>
      <c r="O15" s="159">
        <f>'[2]Combined Overview'!T30</f>
        <v>1650</v>
      </c>
      <c r="P15" s="192">
        <f t="shared" si="0"/>
        <v>140011</v>
      </c>
      <c r="Q15" s="161"/>
      <c r="R15" s="161"/>
      <c r="S15" s="161">
        <v>138511</v>
      </c>
      <c r="T15" s="161">
        <f>'[2]Combined Overview'!Y30</f>
        <v>97005.5</v>
      </c>
      <c r="U15" s="161">
        <f>'[2]Combined Overview'!Z30</f>
        <v>307775</v>
      </c>
      <c r="V15" s="194">
        <f>SUM(P13:P15)</f>
        <v>184849</v>
      </c>
    </row>
    <row r="16" spans="1:23" ht="11.7" customHeight="1" x14ac:dyDescent="0.25">
      <c r="A16" s="157"/>
      <c r="B16" s="158">
        <v>4200</v>
      </c>
      <c r="C16" s="158" t="s">
        <v>276</v>
      </c>
      <c r="D16" s="159">
        <f>'[2]Combined Overview'!I33</f>
        <v>0</v>
      </c>
      <c r="E16" s="159">
        <f>'[2]Combined Overview'!J33</f>
        <v>0</v>
      </c>
      <c r="F16" s="159">
        <f>'[2]Combined Overview'!K33</f>
        <v>0</v>
      </c>
      <c r="G16" s="159">
        <f>'[2]Combined Overview'!L33</f>
        <v>0</v>
      </c>
      <c r="H16" s="159">
        <f>'[2]Combined Overview'!M33</f>
        <v>322000</v>
      </c>
      <c r="I16" s="159">
        <f>'[2]Combined Overview'!N33</f>
        <v>200000</v>
      </c>
      <c r="J16" s="159">
        <f>'[2]Combined Overview'!O33</f>
        <v>161000</v>
      </c>
      <c r="K16" s="159">
        <f>'[2]Combined Overview'!P33</f>
        <v>0</v>
      </c>
      <c r="L16" s="159">
        <f>'[2]Combined Overview'!Q33</f>
        <v>0</v>
      </c>
      <c r="M16" s="159">
        <f>'[2]Combined Overview'!R33</f>
        <v>0</v>
      </c>
      <c r="N16" s="159">
        <f>'[2]Combined Overview'!S33</f>
        <v>0</v>
      </c>
      <c r="O16" s="159">
        <f>'[2]Combined Overview'!T33</f>
        <v>346000</v>
      </c>
      <c r="P16" s="201">
        <f t="shared" si="0"/>
        <v>1029000</v>
      </c>
      <c r="Q16" s="160"/>
      <c r="R16" s="161"/>
      <c r="S16" s="162">
        <v>1517000</v>
      </c>
      <c r="T16" s="160">
        <f>'[2]Combined Overview'!Y33</f>
        <v>658000</v>
      </c>
      <c r="U16" s="162">
        <f>'[2]Combined Overview'!Z33</f>
        <v>1264357</v>
      </c>
      <c r="V16" s="203">
        <f>SUM(P16)</f>
        <v>1029000</v>
      </c>
    </row>
    <row r="17" spans="1:25" ht="11.7" customHeight="1" x14ac:dyDescent="0.25">
      <c r="A17" s="157"/>
      <c r="B17" s="158">
        <v>4410</v>
      </c>
      <c r="C17" s="158" t="s">
        <v>277</v>
      </c>
      <c r="D17" s="159">
        <f>'[2]Combined Overview'!I36</f>
        <v>158375</v>
      </c>
      <c r="E17" s="159">
        <f>'[2]Combined Overview'!J36</f>
        <v>158375</v>
      </c>
      <c r="F17" s="159">
        <f>'[2]Combined Overview'!K36</f>
        <v>158375</v>
      </c>
      <c r="G17" s="159">
        <f>'[2]Combined Overview'!L36</f>
        <v>158375</v>
      </c>
      <c r="H17" s="159">
        <f>'[2]Combined Overview'!M36</f>
        <v>158375</v>
      </c>
      <c r="I17" s="159">
        <f>'[2]Combined Overview'!N36</f>
        <v>158375</v>
      </c>
      <c r="J17" s="159">
        <f>'[2]Combined Overview'!O36</f>
        <v>158375</v>
      </c>
      <c r="K17" s="159">
        <f>'[2]Combined Overview'!P36</f>
        <v>158375</v>
      </c>
      <c r="L17" s="159">
        <f>'[2]Combined Overview'!Q36</f>
        <v>158375</v>
      </c>
      <c r="M17" s="159">
        <f>'[2]Combined Overview'!R36</f>
        <v>158375</v>
      </c>
      <c r="N17" s="159">
        <f>'[2]Combined Overview'!S36</f>
        <v>158375</v>
      </c>
      <c r="O17" s="159">
        <f>'[2]Combined Overview'!T36</f>
        <v>158375</v>
      </c>
      <c r="P17" s="195">
        <f t="shared" si="0"/>
        <v>1900500</v>
      </c>
      <c r="Q17" s="196"/>
      <c r="R17" s="196"/>
      <c r="S17" s="196">
        <v>1900500</v>
      </c>
      <c r="T17" s="196">
        <f>'[2]Combined Overview'!Y36</f>
        <v>1390928.6700000002</v>
      </c>
      <c r="U17" s="196">
        <f>'[2]Combined Overview'!Z36</f>
        <v>1810000</v>
      </c>
      <c r="V17" s="197"/>
    </row>
    <row r="18" spans="1:25" x14ac:dyDescent="0.25">
      <c r="A18" s="157"/>
      <c r="B18" s="158" t="s">
        <v>278</v>
      </c>
      <c r="C18" s="158" t="s">
        <v>279</v>
      </c>
      <c r="D18" s="159">
        <f>'[2]Combined Overview'!I37</f>
        <v>20</v>
      </c>
      <c r="E18" s="159">
        <f>'[2]Combined Overview'!J37</f>
        <v>20</v>
      </c>
      <c r="F18" s="159">
        <f>'[2]Combined Overview'!K37</f>
        <v>20</v>
      </c>
      <c r="G18" s="159">
        <f>'[2]Combined Overview'!L37</f>
        <v>20</v>
      </c>
      <c r="H18" s="159">
        <f>'[2]Combined Overview'!M37</f>
        <v>20</v>
      </c>
      <c r="I18" s="159">
        <f>'[2]Combined Overview'!N37</f>
        <v>20</v>
      </c>
      <c r="J18" s="159">
        <f>'[2]Combined Overview'!O37</f>
        <v>20</v>
      </c>
      <c r="K18" s="159">
        <f>'[2]Combined Overview'!P37</f>
        <v>20</v>
      </c>
      <c r="L18" s="159">
        <f>'[2]Combined Overview'!Q37</f>
        <v>20</v>
      </c>
      <c r="M18" s="159">
        <f>'[2]Combined Overview'!R37</f>
        <v>20</v>
      </c>
      <c r="N18" s="159">
        <f>'[2]Combined Overview'!S37</f>
        <v>20</v>
      </c>
      <c r="O18" s="159">
        <f>'[2]Combined Overview'!T37</f>
        <v>20</v>
      </c>
      <c r="P18" s="195">
        <f t="shared" si="0"/>
        <v>240</v>
      </c>
      <c r="Q18" s="196"/>
      <c r="R18" s="196"/>
      <c r="S18" s="196">
        <v>240</v>
      </c>
      <c r="T18" s="196">
        <f>'[2]Combined Overview'!Y37</f>
        <v>-6.44</v>
      </c>
      <c r="U18" s="196">
        <f>'[2]Combined Overview'!Z37</f>
        <v>360</v>
      </c>
      <c r="V18" s="197"/>
    </row>
    <row r="19" spans="1:25" ht="11.7" customHeight="1" x14ac:dyDescent="0.25">
      <c r="A19" s="157"/>
      <c r="B19" s="158">
        <v>4451</v>
      </c>
      <c r="C19" s="158" t="s">
        <v>280</v>
      </c>
      <c r="D19" s="159">
        <f>'[2]Combined Overview'!I38</f>
        <v>1000</v>
      </c>
      <c r="E19" s="159">
        <f>'[2]Combined Overview'!J38</f>
        <v>1000</v>
      </c>
      <c r="F19" s="159">
        <f>'[2]Combined Overview'!K38</f>
        <v>1000</v>
      </c>
      <c r="G19" s="159">
        <f>'[2]Combined Overview'!L38</f>
        <v>1000</v>
      </c>
      <c r="H19" s="159">
        <f>'[2]Combined Overview'!M38</f>
        <v>1000</v>
      </c>
      <c r="I19" s="159">
        <f>'[2]Combined Overview'!N38</f>
        <v>1000</v>
      </c>
      <c r="J19" s="159">
        <f>'[2]Combined Overview'!O38</f>
        <v>1000</v>
      </c>
      <c r="K19" s="159">
        <f>'[2]Combined Overview'!P38</f>
        <v>1000</v>
      </c>
      <c r="L19" s="159">
        <f>'[2]Combined Overview'!Q38</f>
        <v>1000</v>
      </c>
      <c r="M19" s="159">
        <f>'[2]Combined Overview'!R38</f>
        <v>1000</v>
      </c>
      <c r="N19" s="159">
        <f>'[2]Combined Overview'!S38</f>
        <v>1000</v>
      </c>
      <c r="O19" s="159">
        <f>'[2]Combined Overview'!T38</f>
        <v>1000</v>
      </c>
      <c r="P19" s="195">
        <f t="shared" si="0"/>
        <v>12000</v>
      </c>
      <c r="Q19" s="196"/>
      <c r="R19" s="196"/>
      <c r="S19" s="196">
        <v>10200</v>
      </c>
      <c r="T19" s="196">
        <f>'[2]Combined Overview'!Y38</f>
        <v>7764.04</v>
      </c>
      <c r="U19" s="196">
        <f>'[2]Combined Overview'!Z38</f>
        <v>9600</v>
      </c>
      <c r="V19" s="197"/>
    </row>
    <row r="20" spans="1:25" ht="11.7" customHeight="1" x14ac:dyDescent="0.25">
      <c r="A20" s="157"/>
      <c r="B20" s="158">
        <v>4520</v>
      </c>
      <c r="C20" s="158" t="s">
        <v>281</v>
      </c>
      <c r="D20" s="159">
        <f>'[2]Combined Overview'!I39</f>
        <v>3625</v>
      </c>
      <c r="E20" s="159">
        <f>'[2]Combined Overview'!J39</f>
        <v>3625</v>
      </c>
      <c r="F20" s="159">
        <f>'[2]Combined Overview'!K39</f>
        <v>3625</v>
      </c>
      <c r="G20" s="159">
        <f>'[2]Combined Overview'!L39</f>
        <v>3625</v>
      </c>
      <c r="H20" s="159">
        <f>'[2]Combined Overview'!M39</f>
        <v>3625</v>
      </c>
      <c r="I20" s="159">
        <f>'[2]Combined Overview'!N39</f>
        <v>3625</v>
      </c>
      <c r="J20" s="159">
        <f>'[2]Combined Overview'!O39</f>
        <v>3625</v>
      </c>
      <c r="K20" s="159">
        <f>'[2]Combined Overview'!P39</f>
        <v>3625</v>
      </c>
      <c r="L20" s="159">
        <f>'[2]Combined Overview'!Q39</f>
        <v>3625</v>
      </c>
      <c r="M20" s="159">
        <f>'[2]Combined Overview'!R39</f>
        <v>3625</v>
      </c>
      <c r="N20" s="159">
        <f>'[2]Combined Overview'!S39</f>
        <v>3625</v>
      </c>
      <c r="O20" s="159">
        <f>'[2]Combined Overview'!T39</f>
        <v>3625</v>
      </c>
      <c r="P20" s="195">
        <f t="shared" si="0"/>
        <v>43500</v>
      </c>
      <c r="Q20" s="196"/>
      <c r="R20" s="196"/>
      <c r="S20" s="196">
        <v>43500</v>
      </c>
      <c r="T20" s="196">
        <f>'[2]Combined Overview'!Y39</f>
        <v>30008.38</v>
      </c>
      <c r="U20" s="196">
        <f>'[2]Combined Overview'!Z39</f>
        <v>41750</v>
      </c>
      <c r="V20" s="198">
        <f>SUM(P17:P20)</f>
        <v>1956240</v>
      </c>
    </row>
    <row r="21" spans="1:25" ht="11.7" customHeight="1" x14ac:dyDescent="0.25">
      <c r="A21" s="157"/>
      <c r="B21" s="158">
        <v>4505</v>
      </c>
      <c r="C21" s="158" t="s">
        <v>282</v>
      </c>
      <c r="D21" s="159">
        <f>'[2]Combined Overview'!I42</f>
        <v>15375</v>
      </c>
      <c r="E21" s="159">
        <f>'[2]Combined Overview'!J42</f>
        <v>15375</v>
      </c>
      <c r="F21" s="159">
        <f>'[2]Combined Overview'!K42</f>
        <v>15375</v>
      </c>
      <c r="G21" s="159">
        <f>'[2]Combined Overview'!L42</f>
        <v>15375</v>
      </c>
      <c r="H21" s="159">
        <f>'[2]Combined Overview'!M42</f>
        <v>15375</v>
      </c>
      <c r="I21" s="159">
        <f>'[2]Combined Overview'!N42</f>
        <v>15375</v>
      </c>
      <c r="J21" s="159">
        <f>'[2]Combined Overview'!O42</f>
        <v>15375</v>
      </c>
      <c r="K21" s="159">
        <f>'[2]Combined Overview'!P42</f>
        <v>15375</v>
      </c>
      <c r="L21" s="159">
        <f>'[2]Combined Overview'!Q42</f>
        <v>15375</v>
      </c>
      <c r="M21" s="159">
        <f>'[2]Combined Overview'!R42</f>
        <v>15375</v>
      </c>
      <c r="N21" s="159">
        <f>'[2]Combined Overview'!S42</f>
        <v>15375</v>
      </c>
      <c r="O21" s="159">
        <f>'[2]Combined Overview'!T42</f>
        <v>15375</v>
      </c>
      <c r="P21" s="201">
        <f t="shared" si="0"/>
        <v>184500</v>
      </c>
      <c r="Q21" s="160"/>
      <c r="R21" s="161"/>
      <c r="S21" s="162">
        <v>184500</v>
      </c>
      <c r="T21" s="160">
        <f>'[2]Combined Overview'!Y42</f>
        <v>493098.42</v>
      </c>
      <c r="U21" s="162">
        <f>'[2]Combined Overview'!Z42</f>
        <v>184500</v>
      </c>
      <c r="V21" s="203">
        <f>SUM(P21)</f>
        <v>184500</v>
      </c>
    </row>
    <row r="22" spans="1:25" x14ac:dyDescent="0.25">
      <c r="B22" s="163">
        <v>4518</v>
      </c>
      <c r="C22" s="163" t="s">
        <v>283</v>
      </c>
      <c r="D22" s="160">
        <f>'[2]Combined Overview'!I43</f>
        <v>0</v>
      </c>
      <c r="E22" s="160">
        <f>'[2]Combined Overview'!J43</f>
        <v>0</v>
      </c>
      <c r="F22" s="160">
        <f>'[2]Combined Overview'!K43</f>
        <v>0</v>
      </c>
      <c r="G22" s="160">
        <f>'[2]Combined Overview'!L43</f>
        <v>0</v>
      </c>
      <c r="H22" s="160">
        <f>'[2]Combined Overview'!M43</f>
        <v>0</v>
      </c>
      <c r="I22" s="160">
        <f>'[2]Combined Overview'!N43</f>
        <v>0</v>
      </c>
      <c r="J22" s="160">
        <f>'[2]Combined Overview'!O43</f>
        <v>0</v>
      </c>
      <c r="K22" s="160">
        <f>'[2]Combined Overview'!P43</f>
        <v>0</v>
      </c>
      <c r="L22" s="160">
        <f>'[2]Combined Overview'!Q43</f>
        <v>0</v>
      </c>
      <c r="M22" s="160">
        <f>'[2]Combined Overview'!R43</f>
        <v>0</v>
      </c>
      <c r="N22" s="160">
        <f>'[2]Combined Overview'!S43</f>
        <v>7500</v>
      </c>
      <c r="O22" s="160">
        <f>'[2]Combined Overview'!T43</f>
        <v>0</v>
      </c>
      <c r="P22" s="192">
        <f t="shared" si="0"/>
        <v>7500</v>
      </c>
      <c r="Q22" s="168"/>
      <c r="R22" s="161"/>
      <c r="S22" s="218">
        <v>7500</v>
      </c>
      <c r="T22" s="168">
        <v>0</v>
      </c>
      <c r="U22" s="168">
        <v>0</v>
      </c>
      <c r="V22" s="194">
        <f>SUM(P22)</f>
        <v>7500</v>
      </c>
    </row>
    <row r="23" spans="1:25" ht="11.7" customHeight="1" x14ac:dyDescent="0.25">
      <c r="A23" s="157"/>
      <c r="B23" s="158">
        <v>4530</v>
      </c>
      <c r="C23" s="158" t="s">
        <v>284</v>
      </c>
      <c r="D23" s="159">
        <f>'[2]Combined Overview'!I44</f>
        <v>0</v>
      </c>
      <c r="E23" s="159">
        <f>'[2]Combined Overview'!J44</f>
        <v>0</v>
      </c>
      <c r="F23" s="159">
        <f>'[2]Combined Overview'!K44</f>
        <v>0</v>
      </c>
      <c r="G23" s="159">
        <f>'[2]Combined Overview'!L44</f>
        <v>0</v>
      </c>
      <c r="H23" s="159">
        <f>'[2]Combined Overview'!M44</f>
        <v>0</v>
      </c>
      <c r="I23" s="159">
        <f>'[2]Combined Overview'!N44</f>
        <v>0</v>
      </c>
      <c r="J23" s="159">
        <f>'[2]Combined Overview'!O44</f>
        <v>1050</v>
      </c>
      <c r="K23" s="159">
        <f>'[2]Combined Overview'!P44</f>
        <v>0</v>
      </c>
      <c r="L23" s="159">
        <f>'[2]Combined Overview'!Q44</f>
        <v>0</v>
      </c>
      <c r="M23" s="159">
        <f>'[2]Combined Overview'!R44</f>
        <v>0</v>
      </c>
      <c r="N23" s="159">
        <f>'[2]Combined Overview'!S44</f>
        <v>0</v>
      </c>
      <c r="O23" s="159">
        <f>'[2]Combined Overview'!T44</f>
        <v>0</v>
      </c>
      <c r="P23" s="201">
        <f t="shared" si="0"/>
        <v>1050</v>
      </c>
      <c r="Q23" s="202"/>
      <c r="R23" s="202"/>
      <c r="S23" s="202">
        <v>1050</v>
      </c>
      <c r="T23" s="202">
        <f>'[2]Combined Overview'!Y44</f>
        <v>1332</v>
      </c>
      <c r="U23" s="202">
        <f>'[2]Combined Overview'!Z44</f>
        <v>3150</v>
      </c>
      <c r="V23" s="200"/>
      <c r="W23" s="166"/>
      <c r="Y23" s="166"/>
    </row>
    <row r="24" spans="1:25" ht="11.7" customHeight="1" x14ac:dyDescent="0.25">
      <c r="A24" s="157"/>
      <c r="B24" s="158">
        <v>4550</v>
      </c>
      <c r="C24" s="158" t="s">
        <v>285</v>
      </c>
      <c r="D24" s="159">
        <f>'[2]Combined Overview'!I47</f>
        <v>70</v>
      </c>
      <c r="E24" s="159">
        <f>'[2]Combined Overview'!J47</f>
        <v>70</v>
      </c>
      <c r="F24" s="159">
        <f>'[2]Combined Overview'!K47</f>
        <v>70</v>
      </c>
      <c r="G24" s="159">
        <f>'[2]Combined Overview'!L47</f>
        <v>70</v>
      </c>
      <c r="H24" s="159">
        <f>'[2]Combined Overview'!M47</f>
        <v>70</v>
      </c>
      <c r="I24" s="159">
        <f>'[2]Combined Overview'!N47</f>
        <v>70</v>
      </c>
      <c r="J24" s="159">
        <f>'[2]Combined Overview'!O47</f>
        <v>70</v>
      </c>
      <c r="K24" s="159">
        <f>'[2]Combined Overview'!P47</f>
        <v>70</v>
      </c>
      <c r="L24" s="159">
        <f>'[2]Combined Overview'!Q47</f>
        <v>70</v>
      </c>
      <c r="M24" s="159">
        <f>'[2]Combined Overview'!R47</f>
        <v>70</v>
      </c>
      <c r="N24" s="159">
        <f>'[2]Combined Overview'!S47</f>
        <v>70</v>
      </c>
      <c r="O24" s="159">
        <f>'[2]Combined Overview'!T47</f>
        <v>70</v>
      </c>
      <c r="P24" s="201">
        <f t="shared" si="0"/>
        <v>840</v>
      </c>
      <c r="Q24" s="202"/>
      <c r="R24" s="202"/>
      <c r="S24" s="202">
        <v>840</v>
      </c>
      <c r="T24" s="202">
        <f>'[2]Combined Overview'!Y47</f>
        <v>575.88</v>
      </c>
      <c r="U24" s="202">
        <f>'[2]Combined Overview'!Z47</f>
        <v>840</v>
      </c>
      <c r="V24" s="203">
        <f>SUM(P23:P24)</f>
        <v>1890</v>
      </c>
      <c r="W24" s="167"/>
      <c r="Y24" s="167"/>
    </row>
    <row r="25" spans="1:25" x14ac:dyDescent="0.25">
      <c r="A25" s="157"/>
      <c r="B25" s="158" t="s">
        <v>286</v>
      </c>
      <c r="C25" s="158" t="s">
        <v>287</v>
      </c>
      <c r="D25" s="159">
        <f>'[2]Combined Overview'!I50</f>
        <v>1666.6666666666667</v>
      </c>
      <c r="E25" s="159">
        <f>'[2]Combined Overview'!J50</f>
        <v>1666.6666666666667</v>
      </c>
      <c r="F25" s="159">
        <f>'[2]Combined Overview'!K50</f>
        <v>1666.6666666666667</v>
      </c>
      <c r="G25" s="159">
        <f>'[2]Combined Overview'!L50</f>
        <v>1666.6666666666667</v>
      </c>
      <c r="H25" s="159">
        <f>'[2]Combined Overview'!M50</f>
        <v>1666.6666666666667</v>
      </c>
      <c r="I25" s="159">
        <f>'[2]Combined Overview'!N50</f>
        <v>1666.6666666666667</v>
      </c>
      <c r="J25" s="159">
        <f>'[2]Combined Overview'!O50</f>
        <v>1666.6666666666667</v>
      </c>
      <c r="K25" s="159">
        <f>'[2]Combined Overview'!P50</f>
        <v>1666.6666666666667</v>
      </c>
      <c r="L25" s="159">
        <f>'[2]Combined Overview'!Q50</f>
        <v>1666.6666666666667</v>
      </c>
      <c r="M25" s="159">
        <f>'[2]Combined Overview'!R50</f>
        <v>1666.6666666666667</v>
      </c>
      <c r="N25" s="159">
        <f>'[2]Combined Overview'!S50</f>
        <v>1666.6666666666667</v>
      </c>
      <c r="O25" s="159">
        <f>'[2]Combined Overview'!T50</f>
        <v>1666.6666666666667</v>
      </c>
      <c r="P25" s="204">
        <f t="shared" si="0"/>
        <v>20000</v>
      </c>
      <c r="Q25" s="205"/>
      <c r="R25" s="205"/>
      <c r="S25" s="206">
        <v>15000</v>
      </c>
      <c r="T25" s="206">
        <f>+'[2]Combined Overview'!$Y$50</f>
        <v>25162.720000000001</v>
      </c>
      <c r="U25" s="205">
        <v>0</v>
      </c>
      <c r="V25" s="199"/>
      <c r="W25" s="166"/>
      <c r="Y25" s="167"/>
    </row>
    <row r="26" spans="1:25" ht="11.7" customHeight="1" x14ac:dyDescent="0.25">
      <c r="A26" s="157"/>
      <c r="B26" s="158">
        <v>4615</v>
      </c>
      <c r="C26" s="158" t="s">
        <v>288</v>
      </c>
      <c r="D26" s="159">
        <f>'[2]Combined Overview'!I51</f>
        <v>1083.3333333333333</v>
      </c>
      <c r="E26" s="159">
        <f>'[2]Combined Overview'!J51</f>
        <v>1083.3333333333333</v>
      </c>
      <c r="F26" s="159">
        <f>'[2]Combined Overview'!K51</f>
        <v>1083.3333333333333</v>
      </c>
      <c r="G26" s="159">
        <f>'[2]Combined Overview'!L51</f>
        <v>1083.3333333333333</v>
      </c>
      <c r="H26" s="159">
        <f>'[2]Combined Overview'!M51</f>
        <v>1083.3333333333333</v>
      </c>
      <c r="I26" s="159">
        <f>'[2]Combined Overview'!N51</f>
        <v>1083.3333333333333</v>
      </c>
      <c r="J26" s="159">
        <f>'[2]Combined Overview'!O51</f>
        <v>1083.3333333333333</v>
      </c>
      <c r="K26" s="159">
        <f>'[2]Combined Overview'!P51</f>
        <v>1083.3333333333333</v>
      </c>
      <c r="L26" s="159">
        <f>'[2]Combined Overview'!Q51</f>
        <v>1083.3333333333333</v>
      </c>
      <c r="M26" s="159">
        <f>'[2]Combined Overview'!R51</f>
        <v>1083.3333333333333</v>
      </c>
      <c r="N26" s="159">
        <f>'[2]Combined Overview'!S51</f>
        <v>1083.3333333333333</v>
      </c>
      <c r="O26" s="159">
        <f>'[2]Combined Overview'!T51</f>
        <v>1083.3333333333333</v>
      </c>
      <c r="P26" s="204">
        <f t="shared" si="0"/>
        <v>13000</v>
      </c>
      <c r="Q26" s="206"/>
      <c r="R26" s="206"/>
      <c r="S26" s="206">
        <v>10000</v>
      </c>
      <c r="T26" s="206">
        <f>+'[2]Combined Overview'!$Y$51</f>
        <v>8532.1299999999992</v>
      </c>
      <c r="U26" s="206">
        <f>'[2]Combined Overview'!Z51</f>
        <v>10000</v>
      </c>
      <c r="V26" s="207">
        <f>SUM(P25:P26)</f>
        <v>33000</v>
      </c>
      <c r="W26" s="167"/>
    </row>
    <row r="27" spans="1:25" ht="11.7" customHeight="1" x14ac:dyDescent="0.25">
      <c r="A27" s="157"/>
      <c r="B27" s="158">
        <v>4638</v>
      </c>
      <c r="C27" s="158" t="s">
        <v>289</v>
      </c>
      <c r="D27" s="159">
        <f>'[2]Combined Overview'!I52</f>
        <v>0</v>
      </c>
      <c r="E27" s="159">
        <f>'[2]Combined Overview'!J52</f>
        <v>0</v>
      </c>
      <c r="F27" s="159">
        <f>'[2]Combined Overview'!K52</f>
        <v>0</v>
      </c>
      <c r="G27" s="159">
        <f>'[2]Combined Overview'!L52</f>
        <v>0</v>
      </c>
      <c r="H27" s="159">
        <f>'[2]Combined Overview'!M52</f>
        <v>0</v>
      </c>
      <c r="I27" s="159">
        <f>'[2]Combined Overview'!N52</f>
        <v>0</v>
      </c>
      <c r="J27" s="159">
        <f>'[2]Combined Overview'!O52</f>
        <v>0</v>
      </c>
      <c r="K27" s="159">
        <f>'[2]Combined Overview'!P52</f>
        <v>0</v>
      </c>
      <c r="L27" s="159">
        <f>'[2]Combined Overview'!Q52</f>
        <v>0</v>
      </c>
      <c r="M27" s="159">
        <f>'[2]Combined Overview'!R52</f>
        <v>0</v>
      </c>
      <c r="N27" s="159">
        <f>'[2]Combined Overview'!S52</f>
        <v>0</v>
      </c>
      <c r="O27" s="159">
        <f>'[2]Combined Overview'!T52</f>
        <v>60000</v>
      </c>
      <c r="P27" s="201">
        <f t="shared" si="0"/>
        <v>60000</v>
      </c>
      <c r="Q27" s="164"/>
      <c r="R27" s="168"/>
      <c r="S27" s="162">
        <v>50000</v>
      </c>
      <c r="T27" s="160">
        <f>'[2]Combined Overview'!Y52</f>
        <v>50158.45</v>
      </c>
      <c r="U27" s="162">
        <f>'[2]Combined Overview'!Z52</f>
        <v>25000</v>
      </c>
      <c r="V27" s="203">
        <f>SUM(P27)</f>
        <v>60000</v>
      </c>
    </row>
    <row r="28" spans="1:25" x14ac:dyDescent="0.25">
      <c r="B28" s="169" t="s">
        <v>13</v>
      </c>
      <c r="C28" s="169"/>
      <c r="D28" s="170">
        <f t="shared" ref="D28:P28" si="1">ROUNDUP(SUM(D4:D27),0)</f>
        <v>549579</v>
      </c>
      <c r="E28" s="170">
        <f t="shared" si="1"/>
        <v>203005</v>
      </c>
      <c r="F28" s="170">
        <f t="shared" si="1"/>
        <v>284933</v>
      </c>
      <c r="G28" s="170">
        <f t="shared" si="1"/>
        <v>221506</v>
      </c>
      <c r="H28" s="170">
        <f t="shared" si="1"/>
        <v>541894</v>
      </c>
      <c r="I28" s="170">
        <f t="shared" si="1"/>
        <v>641547</v>
      </c>
      <c r="J28" s="170">
        <f t="shared" si="1"/>
        <v>378143</v>
      </c>
      <c r="K28" s="170">
        <f t="shared" si="1"/>
        <v>209260</v>
      </c>
      <c r="L28" s="170">
        <f t="shared" si="1"/>
        <v>277547</v>
      </c>
      <c r="M28" s="170">
        <f t="shared" si="1"/>
        <v>214393</v>
      </c>
      <c r="N28" s="170">
        <f t="shared" si="1"/>
        <v>215165</v>
      </c>
      <c r="O28" s="170">
        <f t="shared" si="1"/>
        <v>762507</v>
      </c>
      <c r="P28" s="170">
        <f t="shared" si="1"/>
        <v>4499479</v>
      </c>
      <c r="Q28" s="171">
        <f>+P28-'[2]Combined Overview'!$U$55</f>
        <v>0</v>
      </c>
      <c r="R28" s="172">
        <f>SUM(R4:R27)</f>
        <v>0</v>
      </c>
      <c r="S28" s="172">
        <f>SUM(S4:S27)</f>
        <v>4654029</v>
      </c>
      <c r="T28" s="172" t="e">
        <f>SUM(T4:T27)</f>
        <v>#REF!</v>
      </c>
      <c r="U28" s="172">
        <f>SUM(U4:U27)</f>
        <v>4546253</v>
      </c>
    </row>
    <row r="29" spans="1:25" x14ac:dyDescent="0.25">
      <c r="B29" s="173"/>
      <c r="C29" s="173"/>
      <c r="D29" s="174"/>
      <c r="E29" s="174"/>
      <c r="F29" s="174"/>
      <c r="G29" s="174"/>
      <c r="H29" s="174"/>
      <c r="I29" s="174"/>
      <c r="J29" s="174"/>
      <c r="K29" s="174"/>
      <c r="L29" s="174"/>
      <c r="M29" s="174"/>
      <c r="N29" s="174"/>
      <c r="O29" s="174"/>
      <c r="P29" s="174">
        <f>+P28-'[2]Combined Overview'!U$54</f>
        <v>0</v>
      </c>
      <c r="Q29" s="174" t="e">
        <f>+Q28-'[2]Combined Overview'!V$54</f>
        <v>#REF!</v>
      </c>
      <c r="R29" s="174" t="e">
        <f>+R28-'[2]Combined Overview'!W$54</f>
        <v>#REF!</v>
      </c>
      <c r="S29" s="174">
        <f>+S28-'[2]Combined Overview'!$U$55</f>
        <v>154550</v>
      </c>
      <c r="T29" s="174" t="e">
        <f>+T28-'[2]Combined Overview'!$Y$55</f>
        <v>#REF!</v>
      </c>
      <c r="U29" s="174">
        <f>+'[2]Combined Overview'!$Z$55-U28</f>
        <v>0</v>
      </c>
    </row>
    <row r="30" spans="1:25" x14ac:dyDescent="0.25">
      <c r="B30" s="175">
        <v>7310</v>
      </c>
      <c r="C30" s="163" t="s">
        <v>290</v>
      </c>
      <c r="D30" s="176">
        <f>'[2]Combined Overview'!I419</f>
        <v>0</v>
      </c>
      <c r="E30" s="176">
        <f>'[2]Combined Overview'!J419</f>
        <v>0</v>
      </c>
      <c r="F30" s="176">
        <f>'[2]Combined Overview'!K419</f>
        <v>12150</v>
      </c>
      <c r="G30" s="176">
        <f>'[2]Combined Overview'!L419</f>
        <v>0</v>
      </c>
      <c r="H30" s="176">
        <f>'[2]Combined Overview'!M419</f>
        <v>1950</v>
      </c>
      <c r="I30" s="176">
        <f>'[2]Combined Overview'!N419</f>
        <v>0</v>
      </c>
      <c r="J30" s="176">
        <f>'[2]Combined Overview'!O419</f>
        <v>0</v>
      </c>
      <c r="K30" s="176">
        <f>'[2]Combined Overview'!P419</f>
        <v>0</v>
      </c>
      <c r="L30" s="176">
        <f>'[2]Combined Overview'!Q419</f>
        <v>0</v>
      </c>
      <c r="M30" s="176">
        <f>'[2]Combined Overview'!R419</f>
        <v>0</v>
      </c>
      <c r="N30" s="176">
        <f>'[2]Combined Overview'!S419</f>
        <v>0</v>
      </c>
      <c r="O30" s="176">
        <f>'[2]Combined Overview'!T419</f>
        <v>0</v>
      </c>
      <c r="P30" s="177">
        <f t="shared" ref="P30:P61" si="2">(ROUNDUP(SUM(D30:O30),0))</f>
        <v>14100</v>
      </c>
      <c r="Q30" s="178"/>
      <c r="R30" s="161"/>
      <c r="S30" s="162">
        <v>15100</v>
      </c>
      <c r="T30" s="176">
        <f>'[2]Combined Overview'!Y419</f>
        <v>13700</v>
      </c>
      <c r="U30" s="176">
        <f>'[2]Combined Overview'!Z419</f>
        <v>12000</v>
      </c>
      <c r="W30" s="179"/>
      <c r="Y30" s="179"/>
    </row>
    <row r="31" spans="1:25" x14ac:dyDescent="0.25">
      <c r="B31" s="180" t="s">
        <v>291</v>
      </c>
      <c r="C31" s="181" t="s">
        <v>292</v>
      </c>
      <c r="D31" s="176">
        <f>+'[2]Combined Overview'!I$315+'[2]Combined Overview'!I$484</f>
        <v>8025</v>
      </c>
      <c r="E31" s="176">
        <f>+'[2]Combined Overview'!J$315+'[2]Combined Overview'!J$484</f>
        <v>6525</v>
      </c>
      <c r="F31" s="176">
        <f>+'[2]Combined Overview'!K$315+'[2]Combined Overview'!K$484</f>
        <v>6525</v>
      </c>
      <c r="G31" s="176">
        <f>+'[2]Combined Overview'!L$315+'[2]Combined Overview'!L$484</f>
        <v>6525</v>
      </c>
      <c r="H31" s="176">
        <f>+'[2]Combined Overview'!M$315+'[2]Combined Overview'!M$484</f>
        <v>6525</v>
      </c>
      <c r="I31" s="176">
        <f>+'[2]Combined Overview'!N$315+'[2]Combined Overview'!N$484</f>
        <v>6525</v>
      </c>
      <c r="J31" s="176">
        <f>+'[2]Combined Overview'!O$315+'[2]Combined Overview'!O$484</f>
        <v>6925</v>
      </c>
      <c r="K31" s="176">
        <f>+'[2]Combined Overview'!P$315+'[2]Combined Overview'!P$484</f>
        <v>6525</v>
      </c>
      <c r="L31" s="176">
        <f>+'[2]Combined Overview'!Q$315+'[2]Combined Overview'!Q$484</f>
        <v>6525</v>
      </c>
      <c r="M31" s="176">
        <f>+'[2]Combined Overview'!R$315+'[2]Combined Overview'!R$484</f>
        <v>6525</v>
      </c>
      <c r="N31" s="176">
        <f>+'[2]Combined Overview'!S$315+'[2]Combined Overview'!S$484</f>
        <v>6525</v>
      </c>
      <c r="O31" s="176">
        <f>+'[2]Combined Overview'!T$315+'[2]Combined Overview'!T$484</f>
        <v>21525</v>
      </c>
      <c r="P31" s="177">
        <f t="shared" si="2"/>
        <v>95200</v>
      </c>
      <c r="Q31" s="164"/>
      <c r="R31" s="161"/>
      <c r="S31" s="162">
        <v>100700</v>
      </c>
      <c r="T31" s="176">
        <f>+'[2]Combined Overview'!Y$315+'[2]Combined Overview'!Y$484</f>
        <v>61594.11</v>
      </c>
      <c r="U31" s="176">
        <f>+'[2]Combined Overview'!Z$315+'[2]Combined Overview'!Z$484</f>
        <v>93000</v>
      </c>
    </row>
    <row r="32" spans="1:25" x14ac:dyDescent="0.25">
      <c r="B32" s="180">
        <v>7410</v>
      </c>
      <c r="C32" s="284" t="s">
        <v>293</v>
      </c>
      <c r="D32" s="176">
        <f>'[2]Combined Overview'!I440</f>
        <v>0</v>
      </c>
      <c r="E32" s="176">
        <f>'[2]Combined Overview'!J440</f>
        <v>0</v>
      </c>
      <c r="F32" s="176">
        <f>'[2]Combined Overview'!K440</f>
        <v>0</v>
      </c>
      <c r="G32" s="176">
        <f>'[2]Combined Overview'!L440</f>
        <v>0</v>
      </c>
      <c r="H32" s="176">
        <f>'[2]Combined Overview'!M440</f>
        <v>0</v>
      </c>
      <c r="I32" s="176">
        <f>'[2]Combined Overview'!N440</f>
        <v>0</v>
      </c>
      <c r="J32" s="176">
        <f>'[2]Combined Overview'!O440</f>
        <v>0</v>
      </c>
      <c r="K32" s="176">
        <f>'[2]Combined Overview'!P440</f>
        <v>0</v>
      </c>
      <c r="L32" s="176">
        <f>'[2]Combined Overview'!Q440</f>
        <v>0</v>
      </c>
      <c r="M32" s="176">
        <f>'[2]Combined Overview'!R440</f>
        <v>0</v>
      </c>
      <c r="N32" s="176">
        <f>'[2]Combined Overview'!S440</f>
        <v>0</v>
      </c>
      <c r="O32" s="176">
        <f>'[2]Combined Overview'!T440</f>
        <v>500</v>
      </c>
      <c r="P32" s="177">
        <f t="shared" si="2"/>
        <v>500</v>
      </c>
      <c r="Q32" s="164"/>
      <c r="R32" s="161"/>
      <c r="S32" s="162">
        <v>0</v>
      </c>
      <c r="T32" s="176">
        <f>'[2]Combined Overview'!Y440</f>
        <v>0</v>
      </c>
      <c r="U32" s="176">
        <f>'[2]Combined Overview'!Z440</f>
        <v>0</v>
      </c>
    </row>
    <row r="33" spans="2:22" x14ac:dyDescent="0.25">
      <c r="B33" s="180" t="s">
        <v>294</v>
      </c>
      <c r="C33" s="163" t="s">
        <v>295</v>
      </c>
      <c r="D33" s="176">
        <f>+'[2]Combined Overview'!I$140+'[2]Combined Overview'!I$452</f>
        <v>1666.6666666666667</v>
      </c>
      <c r="E33" s="176">
        <f>+'[2]Combined Overview'!J$140+'[2]Combined Overview'!J$452</f>
        <v>1666.6666666666667</v>
      </c>
      <c r="F33" s="176">
        <f>+'[2]Combined Overview'!K$140+'[2]Combined Overview'!K$452</f>
        <v>1666.6666666666667</v>
      </c>
      <c r="G33" s="176">
        <f>+'[2]Combined Overview'!L$140+'[2]Combined Overview'!L$452</f>
        <v>1666.6666666666667</v>
      </c>
      <c r="H33" s="176">
        <f>+'[2]Combined Overview'!M$140+'[2]Combined Overview'!M$452</f>
        <v>1666.6666666666667</v>
      </c>
      <c r="I33" s="176">
        <f>+'[2]Combined Overview'!N$140+'[2]Combined Overview'!N$452</f>
        <v>1666.6666666666667</v>
      </c>
      <c r="J33" s="176">
        <f>+'[2]Combined Overview'!O$140+'[2]Combined Overview'!O$452</f>
        <v>1666.6666666666667</v>
      </c>
      <c r="K33" s="176">
        <f>+'[2]Combined Overview'!P$140+'[2]Combined Overview'!P$452</f>
        <v>1666.6666666666667</v>
      </c>
      <c r="L33" s="176">
        <f>+'[2]Combined Overview'!Q$140+'[2]Combined Overview'!Q$452</f>
        <v>1666.6666666666667</v>
      </c>
      <c r="M33" s="176">
        <f>+'[2]Combined Overview'!R$140+'[2]Combined Overview'!R$452</f>
        <v>1666.6666666666667</v>
      </c>
      <c r="N33" s="176">
        <f>+'[2]Combined Overview'!S$140+'[2]Combined Overview'!S$452</f>
        <v>1666.6666666666667</v>
      </c>
      <c r="O33" s="176">
        <f>+'[2]Combined Overview'!T$140+'[2]Combined Overview'!T$452</f>
        <v>1666.6666666666667</v>
      </c>
      <c r="P33" s="229">
        <f t="shared" si="2"/>
        <v>20000</v>
      </c>
      <c r="Q33" s="233"/>
      <c r="R33" s="231"/>
      <c r="S33" s="231">
        <v>0</v>
      </c>
      <c r="T33" s="231">
        <v>0</v>
      </c>
      <c r="U33" s="231">
        <v>0</v>
      </c>
      <c r="V33" s="234">
        <f>+P33</f>
        <v>20000</v>
      </c>
    </row>
    <row r="34" spans="2:22" x14ac:dyDescent="0.25">
      <c r="B34" s="182" t="s">
        <v>226</v>
      </c>
      <c r="C34" s="289" t="s">
        <v>129</v>
      </c>
      <c r="D34" s="176">
        <f>'[2]Combined Overview'!I102</f>
        <v>0</v>
      </c>
      <c r="E34" s="176">
        <f>'[2]Combined Overview'!J102</f>
        <v>0</v>
      </c>
      <c r="F34" s="176">
        <f>'[2]Combined Overview'!K102</f>
        <v>0</v>
      </c>
      <c r="G34" s="176">
        <f>'[2]Combined Overview'!L102</f>
        <v>45</v>
      </c>
      <c r="H34" s="176">
        <f>'[2]Combined Overview'!M102</f>
        <v>0</v>
      </c>
      <c r="I34" s="176">
        <f>'[2]Combined Overview'!N102</f>
        <v>15</v>
      </c>
      <c r="J34" s="176">
        <f>'[2]Combined Overview'!O102</f>
        <v>30</v>
      </c>
      <c r="K34" s="176">
        <f>'[2]Combined Overview'!P102</f>
        <v>90</v>
      </c>
      <c r="L34" s="176">
        <f>'[2]Combined Overview'!Q102</f>
        <v>15</v>
      </c>
      <c r="M34" s="176">
        <f>'[2]Combined Overview'!R102</f>
        <v>0</v>
      </c>
      <c r="N34" s="176">
        <f>'[2]Combined Overview'!S102</f>
        <v>0</v>
      </c>
      <c r="O34" s="176">
        <f>'[2]Combined Overview'!T102</f>
        <v>0</v>
      </c>
      <c r="P34" s="177">
        <f t="shared" si="2"/>
        <v>195</v>
      </c>
      <c r="Q34" s="178">
        <f>+P34-'[2]Combined Overview'!$U$102</f>
        <v>0</v>
      </c>
      <c r="R34" s="161"/>
      <c r="S34" s="162">
        <v>195</v>
      </c>
      <c r="T34" s="176">
        <f>'[2]Combined Overview'!Y102</f>
        <v>212</v>
      </c>
      <c r="U34" s="176">
        <f>'[2]Combined Overview'!Z102</f>
        <v>460</v>
      </c>
    </row>
    <row r="35" spans="2:22" x14ac:dyDescent="0.25">
      <c r="B35" s="180" t="s">
        <v>296</v>
      </c>
      <c r="C35" s="284" t="s">
        <v>130</v>
      </c>
      <c r="D35" s="176">
        <f>+'[2]Combined Overview'!I$422+'[2]Combined Overview'!I$459+'[2]Combined Overview'!I153</f>
        <v>2621</v>
      </c>
      <c r="E35" s="176">
        <f>+'[2]Combined Overview'!J$422+'[2]Combined Overview'!J$459+'[2]Combined Overview'!J153</f>
        <v>2586</v>
      </c>
      <c r="F35" s="176">
        <f>+'[2]Combined Overview'!K$422+'[2]Combined Overview'!K$459+'[2]Combined Overview'!K153</f>
        <v>2621</v>
      </c>
      <c r="G35" s="176">
        <f>+'[2]Combined Overview'!L$422+'[2]Combined Overview'!L$459+'[2]Combined Overview'!L153</f>
        <v>2586</v>
      </c>
      <c r="H35" s="176">
        <f>+'[2]Combined Overview'!M$422+'[2]Combined Overview'!M$459+'[2]Combined Overview'!M153</f>
        <v>2586</v>
      </c>
      <c r="I35" s="176">
        <f>+'[2]Combined Overview'!N$422+'[2]Combined Overview'!N$459+'[2]Combined Overview'!N153</f>
        <v>2621</v>
      </c>
      <c r="J35" s="176">
        <f>+'[2]Combined Overview'!O$422+'[2]Combined Overview'!O$459+'[2]Combined Overview'!O153</f>
        <v>2621</v>
      </c>
      <c r="K35" s="176">
        <f>+'[2]Combined Overview'!P$422+'[2]Combined Overview'!P$459+'[2]Combined Overview'!P153</f>
        <v>2586</v>
      </c>
      <c r="L35" s="176">
        <f>+'[2]Combined Overview'!Q$422+'[2]Combined Overview'!Q$459+'[2]Combined Overview'!Q153</f>
        <v>2621</v>
      </c>
      <c r="M35" s="176">
        <f>+'[2]Combined Overview'!R$422+'[2]Combined Overview'!R$459+'[2]Combined Overview'!R153</f>
        <v>2586</v>
      </c>
      <c r="N35" s="176">
        <f>+'[2]Combined Overview'!S$422+'[2]Combined Overview'!S$459+'[2]Combined Overview'!S153</f>
        <v>2586</v>
      </c>
      <c r="O35" s="176">
        <f>+'[2]Combined Overview'!T$422+'[2]Combined Overview'!T$459+'[2]Combined Overview'!T153</f>
        <v>2656</v>
      </c>
      <c r="P35" s="177">
        <f t="shared" si="2"/>
        <v>31277</v>
      </c>
      <c r="Q35" s="164"/>
      <c r="R35" s="161"/>
      <c r="S35" s="162">
        <v>7532</v>
      </c>
      <c r="T35" s="176">
        <f>+'[2]Combined Overview'!Y$422+'[2]Combined Overview'!Y$459+'[2]Combined Overview'!Y153</f>
        <v>26227.149999999998</v>
      </c>
      <c r="U35" s="176">
        <f>+'[2]Combined Overview'!Z$422+'[2]Combined Overview'!Z$459+'[2]Combined Overview'!Z153</f>
        <v>35000</v>
      </c>
    </row>
    <row r="36" spans="2:22" x14ac:dyDescent="0.25">
      <c r="B36" s="175">
        <v>7356</v>
      </c>
      <c r="C36" s="284" t="s">
        <v>132</v>
      </c>
      <c r="D36" s="176">
        <f>'[2]Combined Overview'!I428</f>
        <v>0</v>
      </c>
      <c r="E36" s="176">
        <f>'[2]Combined Overview'!J428</f>
        <v>0</v>
      </c>
      <c r="F36" s="176">
        <f>'[2]Combined Overview'!K428</f>
        <v>25</v>
      </c>
      <c r="G36" s="176">
        <f>'[2]Combined Overview'!L428</f>
        <v>500</v>
      </c>
      <c r="H36" s="176">
        <f>'[2]Combined Overview'!M428</f>
        <v>0</v>
      </c>
      <c r="I36" s="176">
        <f>'[2]Combined Overview'!N428</f>
        <v>25</v>
      </c>
      <c r="J36" s="176">
        <f>'[2]Combined Overview'!O428</f>
        <v>0</v>
      </c>
      <c r="K36" s="176">
        <f>'[2]Combined Overview'!P428</f>
        <v>0</v>
      </c>
      <c r="L36" s="176">
        <f>'[2]Combined Overview'!Q428</f>
        <v>25</v>
      </c>
      <c r="M36" s="176">
        <f>'[2]Combined Overview'!R428</f>
        <v>0</v>
      </c>
      <c r="N36" s="176">
        <f>'[2]Combined Overview'!S428</f>
        <v>25</v>
      </c>
      <c r="O36" s="176">
        <f>'[2]Combined Overview'!T428</f>
        <v>400</v>
      </c>
      <c r="P36" s="177">
        <f t="shared" si="2"/>
        <v>1000</v>
      </c>
      <c r="Q36" s="178"/>
      <c r="R36" s="161"/>
      <c r="S36" s="162">
        <v>1000</v>
      </c>
      <c r="T36" s="176">
        <f>'[2]Combined Overview'!Y428</f>
        <v>419.81</v>
      </c>
      <c r="U36" s="176">
        <f>'[2]Combined Overview'!Z428</f>
        <v>2000</v>
      </c>
    </row>
    <row r="37" spans="2:22" x14ac:dyDescent="0.25">
      <c r="B37" s="182">
        <v>5105</v>
      </c>
      <c r="C37" s="163" t="s">
        <v>133</v>
      </c>
      <c r="D37" s="176">
        <f>'[2]Combined Overview'!I58</f>
        <v>1250</v>
      </c>
      <c r="E37" s="176">
        <f>'[2]Combined Overview'!J58</f>
        <v>1250</v>
      </c>
      <c r="F37" s="176">
        <f>'[2]Combined Overview'!K58</f>
        <v>1250</v>
      </c>
      <c r="G37" s="176">
        <f>'[2]Combined Overview'!L58</f>
        <v>1250</v>
      </c>
      <c r="H37" s="176">
        <f>'[2]Combined Overview'!M58</f>
        <v>3300</v>
      </c>
      <c r="I37" s="176">
        <f>'[2]Combined Overview'!N58</f>
        <v>1275</v>
      </c>
      <c r="J37" s="176">
        <f>'[2]Combined Overview'!O58</f>
        <v>1275</v>
      </c>
      <c r="K37" s="176">
        <f>'[2]Combined Overview'!P58</f>
        <v>1275</v>
      </c>
      <c r="L37" s="176">
        <f>'[2]Combined Overview'!Q58</f>
        <v>1275</v>
      </c>
      <c r="M37" s="176">
        <f>'[2]Combined Overview'!R58</f>
        <v>1275</v>
      </c>
      <c r="N37" s="176">
        <f>'[2]Combined Overview'!S58</f>
        <v>1275</v>
      </c>
      <c r="O37" s="176">
        <f>'[2]Combined Overview'!T58</f>
        <v>1275</v>
      </c>
      <c r="P37" s="177">
        <f t="shared" si="2"/>
        <v>17225</v>
      </c>
      <c r="Q37" s="178"/>
      <c r="R37" s="161"/>
      <c r="S37" s="162">
        <v>17225</v>
      </c>
      <c r="T37" s="176">
        <f>'[2]Combined Overview'!Y58</f>
        <v>11295.48</v>
      </c>
      <c r="U37" s="176">
        <f>'[2]Combined Overview'!Z58</f>
        <v>17176</v>
      </c>
    </row>
    <row r="38" spans="2:22" x14ac:dyDescent="0.25">
      <c r="B38" s="175">
        <v>5361</v>
      </c>
      <c r="C38" s="284" t="s">
        <v>135</v>
      </c>
      <c r="D38" s="176">
        <f>'[2]Combined Overview'!I219</f>
        <v>0</v>
      </c>
      <c r="E38" s="176">
        <f>'[2]Combined Overview'!J219</f>
        <v>0</v>
      </c>
      <c r="F38" s="176">
        <f>'[2]Combined Overview'!K219</f>
        <v>0</v>
      </c>
      <c r="G38" s="176">
        <f>'[2]Combined Overview'!L219</f>
        <v>0</v>
      </c>
      <c r="H38" s="176">
        <f>'[2]Combined Overview'!M219</f>
        <v>0</v>
      </c>
      <c r="I38" s="176">
        <f>'[2]Combined Overview'!N219</f>
        <v>4000</v>
      </c>
      <c r="J38" s="176">
        <f>'[2]Combined Overview'!O219</f>
        <v>0</v>
      </c>
      <c r="K38" s="176">
        <f>'[2]Combined Overview'!P219</f>
        <v>0</v>
      </c>
      <c r="L38" s="176">
        <f>'[2]Combined Overview'!Q219</f>
        <v>0</v>
      </c>
      <c r="M38" s="176">
        <f>'[2]Combined Overview'!R219</f>
        <v>0</v>
      </c>
      <c r="N38" s="176">
        <f>'[2]Combined Overview'!S219</f>
        <v>0</v>
      </c>
      <c r="O38" s="176">
        <f>'[2]Combined Overview'!T219</f>
        <v>4000</v>
      </c>
      <c r="P38" s="177">
        <f t="shared" si="2"/>
        <v>8000</v>
      </c>
      <c r="Q38" s="178"/>
      <c r="R38" s="161"/>
      <c r="S38" s="162">
        <v>5000</v>
      </c>
      <c r="T38" s="176">
        <f>'[2]Combined Overview'!Y219</f>
        <v>3440.03</v>
      </c>
      <c r="U38" s="176">
        <f>'[2]Combined Overview'!Z219</f>
        <v>8000</v>
      </c>
    </row>
    <row r="39" spans="2:22" x14ac:dyDescent="0.25">
      <c r="B39" s="175">
        <v>5572</v>
      </c>
      <c r="C39" s="163" t="s">
        <v>297</v>
      </c>
      <c r="D39" s="176">
        <f>'[2]Combined Overview'!I408</f>
        <v>20</v>
      </c>
      <c r="E39" s="176">
        <f>'[2]Combined Overview'!J408</f>
        <v>20</v>
      </c>
      <c r="F39" s="176">
        <f>'[2]Combined Overview'!K408</f>
        <v>20</v>
      </c>
      <c r="G39" s="176">
        <f>'[2]Combined Overview'!L408</f>
        <v>20</v>
      </c>
      <c r="H39" s="176">
        <f>'[2]Combined Overview'!M408</f>
        <v>20</v>
      </c>
      <c r="I39" s="176">
        <f>'[2]Combined Overview'!N408</f>
        <v>20</v>
      </c>
      <c r="J39" s="176">
        <f>'[2]Combined Overview'!O408</f>
        <v>20</v>
      </c>
      <c r="K39" s="176">
        <f>'[2]Combined Overview'!P408</f>
        <v>20</v>
      </c>
      <c r="L39" s="176">
        <f>'[2]Combined Overview'!Q408</f>
        <v>20</v>
      </c>
      <c r="M39" s="176">
        <f>'[2]Combined Overview'!R408</f>
        <v>20</v>
      </c>
      <c r="N39" s="176">
        <f>'[2]Combined Overview'!S408</f>
        <v>20</v>
      </c>
      <c r="O39" s="176">
        <f>'[2]Combined Overview'!T408</f>
        <v>20</v>
      </c>
      <c r="P39" s="226">
        <f t="shared" si="2"/>
        <v>240</v>
      </c>
      <c r="Q39" s="227"/>
      <c r="R39" s="228"/>
      <c r="S39" s="228">
        <v>240</v>
      </c>
      <c r="T39" s="228">
        <f>'[2]Combined Overview'!Y408</f>
        <v>-6.44</v>
      </c>
      <c r="U39" s="228">
        <f>'[2]Combined Overview'!Z408</f>
        <v>360</v>
      </c>
      <c r="V39" s="237">
        <f>SUM(P39)</f>
        <v>240</v>
      </c>
    </row>
    <row r="40" spans="2:22" x14ac:dyDescent="0.25">
      <c r="B40" s="182">
        <v>5204</v>
      </c>
      <c r="C40" s="284" t="s">
        <v>137</v>
      </c>
      <c r="D40" s="176">
        <f>'[2]Combined Overview'!I76</f>
        <v>0</v>
      </c>
      <c r="E40" s="176">
        <f>'[2]Combined Overview'!J76</f>
        <v>0</v>
      </c>
      <c r="F40" s="176">
        <f>'[2]Combined Overview'!K76</f>
        <v>0</v>
      </c>
      <c r="G40" s="176">
        <f>'[2]Combined Overview'!L76</f>
        <v>0</v>
      </c>
      <c r="H40" s="176">
        <f>'[2]Combined Overview'!M76</f>
        <v>4560</v>
      </c>
      <c r="I40" s="176">
        <f>'[2]Combined Overview'!N76</f>
        <v>0</v>
      </c>
      <c r="J40" s="176">
        <f>'[2]Combined Overview'!O76</f>
        <v>1520</v>
      </c>
      <c r="K40" s="176">
        <f>'[2]Combined Overview'!P76</f>
        <v>3040</v>
      </c>
      <c r="L40" s="176">
        <f>'[2]Combined Overview'!Q76</f>
        <v>0</v>
      </c>
      <c r="M40" s="176">
        <f>'[2]Combined Overview'!R76</f>
        <v>1520</v>
      </c>
      <c r="N40" s="176">
        <f>'[2]Combined Overview'!S76</f>
        <v>0</v>
      </c>
      <c r="O40" s="176">
        <f>'[2]Combined Overview'!T76</f>
        <v>0</v>
      </c>
      <c r="P40" s="177">
        <f t="shared" si="2"/>
        <v>10640</v>
      </c>
      <c r="Q40" s="178"/>
      <c r="R40" s="161"/>
      <c r="S40" s="162">
        <v>10640</v>
      </c>
      <c r="T40" s="176">
        <f>'[2]Combined Overview'!Y76</f>
        <v>24096.84</v>
      </c>
      <c r="U40" s="176">
        <f>'[2]Combined Overview'!Z76</f>
        <v>14400</v>
      </c>
    </row>
    <row r="41" spans="2:22" x14ac:dyDescent="0.25">
      <c r="B41" s="180" t="s">
        <v>298</v>
      </c>
      <c r="C41" s="181" t="s">
        <v>139</v>
      </c>
      <c r="D41" s="176">
        <f>+'[2]Combined Overview'!I$490+'[2]Combined Overview'!I$439+'[2]Combined Overview'!I$340</f>
        <v>1299</v>
      </c>
      <c r="E41" s="176">
        <f>+'[2]Combined Overview'!J$490+'[2]Combined Overview'!J$439+'[2]Combined Overview'!J$340</f>
        <v>550</v>
      </c>
      <c r="F41" s="176">
        <f>+'[2]Combined Overview'!K$490+'[2]Combined Overview'!K$439+'[2]Combined Overview'!K$340</f>
        <v>1890</v>
      </c>
      <c r="G41" s="176">
        <f>+'[2]Combined Overview'!L$490+'[2]Combined Overview'!L$439+'[2]Combined Overview'!L$340</f>
        <v>924</v>
      </c>
      <c r="H41" s="176">
        <f>+'[2]Combined Overview'!M$490+'[2]Combined Overview'!M$439+'[2]Combined Overview'!M$340</f>
        <v>1550</v>
      </c>
      <c r="I41" s="176">
        <f>+'[2]Combined Overview'!N$490+'[2]Combined Overview'!N$439+'[2]Combined Overview'!N$340</f>
        <v>2050</v>
      </c>
      <c r="J41" s="176">
        <f>+'[2]Combined Overview'!O$490+'[2]Combined Overview'!O$439+'[2]Combined Overview'!O$340</f>
        <v>845</v>
      </c>
      <c r="K41" s="176">
        <f>+'[2]Combined Overview'!P$490+'[2]Combined Overview'!P$439+'[2]Combined Overview'!P$340</f>
        <v>335</v>
      </c>
      <c r="L41" s="176">
        <f>+'[2]Combined Overview'!Q$490+'[2]Combined Overview'!Q$439+'[2]Combined Overview'!Q$340</f>
        <v>4050</v>
      </c>
      <c r="M41" s="176">
        <f>+'[2]Combined Overview'!R$490+'[2]Combined Overview'!R$439+'[2]Combined Overview'!R$340</f>
        <v>500</v>
      </c>
      <c r="N41" s="176">
        <f>+'[2]Combined Overview'!S$490+'[2]Combined Overview'!S$439+'[2]Combined Overview'!S$340</f>
        <v>5082</v>
      </c>
      <c r="O41" s="176">
        <f>+'[2]Combined Overview'!T$490+'[2]Combined Overview'!T$439+'[2]Combined Overview'!T$340</f>
        <v>925</v>
      </c>
      <c r="P41" s="177">
        <f t="shared" si="2"/>
        <v>20000</v>
      </c>
      <c r="Q41" s="164"/>
      <c r="R41" s="161">
        <v>0</v>
      </c>
      <c r="S41" s="162">
        <v>20000</v>
      </c>
      <c r="T41" s="176">
        <f>+'[2]Combined Overview'!Y$490+'[2]Combined Overview'!Y$439+'[2]Combined Overview'!Y$340</f>
        <v>20255.71</v>
      </c>
      <c r="U41" s="176">
        <f>+'[2]Combined Overview'!Z$490+'[2]Combined Overview'!Z$439+'[2]Combined Overview'!Z$340</f>
        <v>29906</v>
      </c>
    </row>
    <row r="42" spans="2:22" x14ac:dyDescent="0.25">
      <c r="B42" s="175">
        <v>5571</v>
      </c>
      <c r="C42" s="163" t="s">
        <v>140</v>
      </c>
      <c r="D42" s="176">
        <f>'[2]Combined Overview'!I407</f>
        <v>2500</v>
      </c>
      <c r="E42" s="176">
        <f>'[2]Combined Overview'!J407</f>
        <v>2500</v>
      </c>
      <c r="F42" s="176">
        <f>'[2]Combined Overview'!K407</f>
        <v>2500</v>
      </c>
      <c r="G42" s="176">
        <f>'[2]Combined Overview'!L407</f>
        <v>2500</v>
      </c>
      <c r="H42" s="176">
        <f>'[2]Combined Overview'!M407</f>
        <v>2500</v>
      </c>
      <c r="I42" s="176">
        <f>'[2]Combined Overview'!N407</f>
        <v>2500</v>
      </c>
      <c r="J42" s="176">
        <f>'[2]Combined Overview'!O407</f>
        <v>2500</v>
      </c>
      <c r="K42" s="176">
        <f>'[2]Combined Overview'!P407</f>
        <v>2500</v>
      </c>
      <c r="L42" s="176">
        <f>'[2]Combined Overview'!Q407</f>
        <v>2500</v>
      </c>
      <c r="M42" s="176">
        <f>'[2]Combined Overview'!R407</f>
        <v>2500</v>
      </c>
      <c r="N42" s="176">
        <f>'[2]Combined Overview'!S407</f>
        <v>2500</v>
      </c>
      <c r="O42" s="176">
        <f>'[2]Combined Overview'!T407</f>
        <v>2500</v>
      </c>
      <c r="P42" s="226">
        <f t="shared" si="2"/>
        <v>30000</v>
      </c>
      <c r="Q42" s="227"/>
      <c r="R42" s="228"/>
      <c r="S42" s="228">
        <v>30000</v>
      </c>
      <c r="T42" s="228">
        <f>'[2]Combined Overview'!Y407</f>
        <v>16442.75</v>
      </c>
      <c r="U42" s="228">
        <f>'[2]Combined Overview'!Z407</f>
        <v>30000</v>
      </c>
      <c r="V42" s="237">
        <f>SUM(P42)</f>
        <v>30000</v>
      </c>
    </row>
    <row r="43" spans="2:22" ht="13.5" customHeight="1" x14ac:dyDescent="0.25">
      <c r="B43" s="182">
        <v>5118</v>
      </c>
      <c r="C43" s="289" t="s">
        <v>299</v>
      </c>
      <c r="D43" s="176">
        <f>'[2]Combined Overview'!I64</f>
        <v>0</v>
      </c>
      <c r="E43" s="176">
        <f>'[2]Combined Overview'!J64</f>
        <v>0</v>
      </c>
      <c r="F43" s="176">
        <f>'[2]Combined Overview'!K64</f>
        <v>375</v>
      </c>
      <c r="G43" s="176">
        <f>'[2]Combined Overview'!L64</f>
        <v>0</v>
      </c>
      <c r="H43" s="176">
        <f>'[2]Combined Overview'!M64</f>
        <v>0</v>
      </c>
      <c r="I43" s="176">
        <f>'[2]Combined Overview'!N64</f>
        <v>375</v>
      </c>
      <c r="J43" s="176">
        <f>'[2]Combined Overview'!O64</f>
        <v>0</v>
      </c>
      <c r="K43" s="176">
        <f>'[2]Combined Overview'!P64</f>
        <v>0</v>
      </c>
      <c r="L43" s="176">
        <f>'[2]Combined Overview'!Q64</f>
        <v>375</v>
      </c>
      <c r="M43" s="176">
        <f>'[2]Combined Overview'!R64</f>
        <v>0</v>
      </c>
      <c r="N43" s="176">
        <f>'[2]Combined Overview'!S64</f>
        <v>0</v>
      </c>
      <c r="O43" s="176">
        <f>'[2]Combined Overview'!T64</f>
        <v>375</v>
      </c>
      <c r="P43" s="177">
        <f t="shared" si="2"/>
        <v>1500</v>
      </c>
      <c r="Q43" s="178"/>
      <c r="R43" s="161"/>
      <c r="S43" s="162">
        <v>1500</v>
      </c>
      <c r="T43" s="176">
        <f>'[2]Combined Overview'!Y64</f>
        <v>2089.6</v>
      </c>
      <c r="U43" s="176">
        <f>'[2]Combined Overview'!Z64</f>
        <v>3000</v>
      </c>
    </row>
    <row r="44" spans="2:22" x14ac:dyDescent="0.25">
      <c r="B44" s="182">
        <v>5102</v>
      </c>
      <c r="C44" s="163" t="s">
        <v>300</v>
      </c>
      <c r="D44" s="176">
        <f>'[2]Combined Overview'!I60</f>
        <v>0</v>
      </c>
      <c r="E44" s="176">
        <f>'[2]Combined Overview'!J60</f>
        <v>0</v>
      </c>
      <c r="F44" s="176">
        <f>'[2]Combined Overview'!K60</f>
        <v>0</v>
      </c>
      <c r="G44" s="176">
        <f>'[2]Combined Overview'!L60</f>
        <v>0</v>
      </c>
      <c r="H44" s="176">
        <f>'[2]Combined Overview'!M60</f>
        <v>280000</v>
      </c>
      <c r="I44" s="176">
        <f>'[2]Combined Overview'!N60</f>
        <v>420000</v>
      </c>
      <c r="J44" s="176">
        <f>'[2]Combined Overview'!O60</f>
        <v>140000</v>
      </c>
      <c r="K44" s="176">
        <f>'[2]Combined Overview'!P60</f>
        <v>0</v>
      </c>
      <c r="L44" s="176">
        <f>'[2]Combined Overview'!Q60</f>
        <v>0</v>
      </c>
      <c r="M44" s="176">
        <f>'[2]Combined Overview'!R60</f>
        <v>0</v>
      </c>
      <c r="N44" s="176">
        <f>'[2]Combined Overview'!S60</f>
        <v>0</v>
      </c>
      <c r="O44" s="176">
        <f>'[2]Combined Overview'!T60</f>
        <v>280000</v>
      </c>
      <c r="P44" s="221">
        <f t="shared" si="2"/>
        <v>1120000</v>
      </c>
      <c r="Q44" s="222"/>
      <c r="R44" s="161"/>
      <c r="S44" s="161">
        <v>1500000</v>
      </c>
      <c r="T44" s="161">
        <f>'[2]Combined Overview'!Y60</f>
        <v>784220.08</v>
      </c>
      <c r="U44" s="161">
        <f>'[2]Combined Overview'!Z60</f>
        <v>1000000</v>
      </c>
      <c r="V44" s="223">
        <f>SUM(P44)</f>
        <v>1120000</v>
      </c>
    </row>
    <row r="45" spans="2:22" x14ac:dyDescent="0.25">
      <c r="B45" s="175">
        <v>5570</v>
      </c>
      <c r="C45" s="163" t="s">
        <v>145</v>
      </c>
      <c r="D45" s="176">
        <f>'[2]Combined Overview'!I406</f>
        <v>6500</v>
      </c>
      <c r="E45" s="176">
        <f>'[2]Combined Overview'!J406</f>
        <v>6500</v>
      </c>
      <c r="F45" s="176">
        <f>'[2]Combined Overview'!K406</f>
        <v>6500</v>
      </c>
      <c r="G45" s="176">
        <f>'[2]Combined Overview'!L406</f>
        <v>6500</v>
      </c>
      <c r="H45" s="176">
        <f>'[2]Combined Overview'!M406</f>
        <v>6500</v>
      </c>
      <c r="I45" s="176">
        <f>'[2]Combined Overview'!N406</f>
        <v>6500</v>
      </c>
      <c r="J45" s="176">
        <f>'[2]Combined Overview'!O406</f>
        <v>6500</v>
      </c>
      <c r="K45" s="176">
        <f>'[2]Combined Overview'!P406</f>
        <v>6500</v>
      </c>
      <c r="L45" s="176">
        <f>'[2]Combined Overview'!Q406</f>
        <v>6500</v>
      </c>
      <c r="M45" s="176">
        <f>'[2]Combined Overview'!R406</f>
        <v>6500</v>
      </c>
      <c r="N45" s="176">
        <f>'[2]Combined Overview'!S406</f>
        <v>6500</v>
      </c>
      <c r="O45" s="176">
        <f>'[2]Combined Overview'!T406</f>
        <v>6500</v>
      </c>
      <c r="P45" s="226">
        <f t="shared" si="2"/>
        <v>78000</v>
      </c>
      <c r="Q45" s="227"/>
      <c r="R45" s="228"/>
      <c r="S45" s="228">
        <v>80000</v>
      </c>
      <c r="T45" s="228">
        <f>'[2]Combined Overview'!Y406</f>
        <v>47386.43</v>
      </c>
      <c r="U45" s="228">
        <f>'[2]Combined Overview'!Z406</f>
        <v>92400</v>
      </c>
      <c r="V45" s="237">
        <f>SUM(P45)</f>
        <v>78000</v>
      </c>
    </row>
    <row r="46" spans="2:22" x14ac:dyDescent="0.25">
      <c r="B46" s="182">
        <v>5123</v>
      </c>
      <c r="C46" s="289" t="s">
        <v>301</v>
      </c>
      <c r="D46" s="176">
        <f>'[2]Combined Overview'!I66</f>
        <v>0</v>
      </c>
      <c r="E46" s="176">
        <f>'[2]Combined Overview'!J66</f>
        <v>0</v>
      </c>
      <c r="F46" s="176">
        <f>'[2]Combined Overview'!K66</f>
        <v>0</v>
      </c>
      <c r="G46" s="176">
        <f>'[2]Combined Overview'!L66</f>
        <v>0</v>
      </c>
      <c r="H46" s="176">
        <f>'[2]Combined Overview'!M66</f>
        <v>0</v>
      </c>
      <c r="I46" s="176">
        <f>'[2]Combined Overview'!N66</f>
        <v>0</v>
      </c>
      <c r="J46" s="176">
        <f>'[2]Combined Overview'!O66</f>
        <v>0</v>
      </c>
      <c r="K46" s="176">
        <f>'[2]Combined Overview'!P66</f>
        <v>0</v>
      </c>
      <c r="L46" s="176">
        <f>'[2]Combined Overview'!Q66</f>
        <v>0</v>
      </c>
      <c r="M46" s="176">
        <f>'[2]Combined Overview'!R66</f>
        <v>0</v>
      </c>
      <c r="N46" s="176">
        <f>'[2]Combined Overview'!S66</f>
        <v>7500</v>
      </c>
      <c r="O46" s="176">
        <f>'[2]Combined Overview'!T66</f>
        <v>0</v>
      </c>
      <c r="P46" s="177">
        <f t="shared" si="2"/>
        <v>7500</v>
      </c>
      <c r="Q46" s="178"/>
      <c r="R46" s="160"/>
      <c r="S46" s="162">
        <v>7500</v>
      </c>
      <c r="T46" s="176">
        <f>'[2]Combined Overview'!Y66</f>
        <v>11296.46</v>
      </c>
      <c r="U46" s="176">
        <f>'[2]Combined Overview'!Z66</f>
        <v>15720</v>
      </c>
    </row>
    <row r="47" spans="2:22" x14ac:dyDescent="0.25">
      <c r="B47" s="180">
        <v>5206</v>
      </c>
      <c r="C47" s="289" t="s">
        <v>147</v>
      </c>
      <c r="D47" s="176">
        <f>'[2]Combined Overview'!I79</f>
        <v>0</v>
      </c>
      <c r="E47" s="176">
        <f>'[2]Combined Overview'!J79</f>
        <v>0</v>
      </c>
      <c r="F47" s="176">
        <f>'[2]Combined Overview'!K79</f>
        <v>0</v>
      </c>
      <c r="G47" s="176">
        <f>'[2]Combined Overview'!L79</f>
        <v>135</v>
      </c>
      <c r="H47" s="176">
        <f>'[2]Combined Overview'!M79</f>
        <v>0</v>
      </c>
      <c r="I47" s="176">
        <f>'[2]Combined Overview'!N79</f>
        <v>45</v>
      </c>
      <c r="J47" s="176">
        <f>'[2]Combined Overview'!O79</f>
        <v>1440</v>
      </c>
      <c r="K47" s="176">
        <f>'[2]Combined Overview'!P79</f>
        <v>0</v>
      </c>
      <c r="L47" s="176">
        <f>'[2]Combined Overview'!Q79</f>
        <v>45</v>
      </c>
      <c r="M47" s="176">
        <f>'[2]Combined Overview'!R79</f>
        <v>0</v>
      </c>
      <c r="N47" s="176">
        <f>'[2]Combined Overview'!S79</f>
        <v>0</v>
      </c>
      <c r="O47" s="176">
        <f>'[2]Combined Overview'!T79</f>
        <v>0</v>
      </c>
      <c r="P47" s="177">
        <f t="shared" si="2"/>
        <v>1665</v>
      </c>
      <c r="Q47" s="178"/>
      <c r="R47" s="161"/>
      <c r="S47" s="162">
        <v>1665</v>
      </c>
      <c r="T47" s="176">
        <f>'[2]Combined Overview'!Y79</f>
        <v>2025.12</v>
      </c>
      <c r="U47" s="176">
        <f>'[2]Combined Overview'!Z79</f>
        <v>3535</v>
      </c>
    </row>
    <row r="48" spans="2:22" x14ac:dyDescent="0.25">
      <c r="B48" s="182">
        <v>5210</v>
      </c>
      <c r="C48" s="289" t="s">
        <v>148</v>
      </c>
      <c r="D48" s="176">
        <f>'[2]Combined Overview'!I95</f>
        <v>0</v>
      </c>
      <c r="E48" s="176">
        <f>'[2]Combined Overview'!J95</f>
        <v>0</v>
      </c>
      <c r="F48" s="176">
        <f>'[2]Combined Overview'!K95</f>
        <v>0</v>
      </c>
      <c r="G48" s="176">
        <f>'[2]Combined Overview'!L95</f>
        <v>450</v>
      </c>
      <c r="H48" s="176">
        <f>'[2]Combined Overview'!M95</f>
        <v>0</v>
      </c>
      <c r="I48" s="176">
        <f>'[2]Combined Overview'!N95</f>
        <v>0</v>
      </c>
      <c r="J48" s="176">
        <f>'[2]Combined Overview'!O95</f>
        <v>300</v>
      </c>
      <c r="K48" s="176">
        <f>'[2]Combined Overview'!P95</f>
        <v>350</v>
      </c>
      <c r="L48" s="176">
        <f>'[2]Combined Overview'!Q95</f>
        <v>0</v>
      </c>
      <c r="M48" s="176">
        <f>'[2]Combined Overview'!R95</f>
        <v>300</v>
      </c>
      <c r="N48" s="176">
        <f>'[2]Combined Overview'!S95</f>
        <v>0</v>
      </c>
      <c r="O48" s="176">
        <f>'[2]Combined Overview'!T95</f>
        <v>0</v>
      </c>
      <c r="P48" s="177">
        <f t="shared" si="2"/>
        <v>1400</v>
      </c>
      <c r="Q48" s="178"/>
      <c r="R48" s="161"/>
      <c r="S48" s="162">
        <v>1400</v>
      </c>
      <c r="T48" s="176">
        <f>'[2]Combined Overview'!Y95</f>
        <v>1472.31</v>
      </c>
      <c r="U48" s="176">
        <f>'[2]Combined Overview'!Z95</f>
        <v>445</v>
      </c>
    </row>
    <row r="49" spans="2:22" x14ac:dyDescent="0.25">
      <c r="B49" s="175">
        <v>5426</v>
      </c>
      <c r="C49" s="163" t="s">
        <v>302</v>
      </c>
      <c r="D49" s="176">
        <f>'[2]Combined Overview'!I387</f>
        <v>4327.17</v>
      </c>
      <c r="E49" s="176">
        <f>'[2]Combined Overview'!J387</f>
        <v>4327.17</v>
      </c>
      <c r="F49" s="176">
        <f>'[2]Combined Overview'!K387</f>
        <v>4327.17</v>
      </c>
      <c r="G49" s="176">
        <f>'[2]Combined Overview'!L387</f>
        <v>4327.17</v>
      </c>
      <c r="H49" s="176">
        <f>'[2]Combined Overview'!M387</f>
        <v>4327.17</v>
      </c>
      <c r="I49" s="176">
        <f>'[2]Combined Overview'!N387</f>
        <v>4327.17</v>
      </c>
      <c r="J49" s="176">
        <f>'[2]Combined Overview'!O387</f>
        <v>4327.17</v>
      </c>
      <c r="K49" s="176">
        <f>'[2]Combined Overview'!P387</f>
        <v>4327.17</v>
      </c>
      <c r="L49" s="176">
        <f>'[2]Combined Overview'!Q387</f>
        <v>4327.17</v>
      </c>
      <c r="M49" s="176">
        <f>'[2]Combined Overview'!R387</f>
        <v>4327.17</v>
      </c>
      <c r="N49" s="176">
        <f>'[2]Combined Overview'!S387</f>
        <v>4327.17</v>
      </c>
      <c r="O49" s="176">
        <f>'[2]Combined Overview'!T387</f>
        <v>4327.17</v>
      </c>
      <c r="P49" s="238">
        <f t="shared" si="2"/>
        <v>51927</v>
      </c>
      <c r="Q49" s="239"/>
      <c r="R49" s="240"/>
      <c r="S49" s="240">
        <v>51927</v>
      </c>
      <c r="T49" s="240">
        <f>'[2]Combined Overview'!Y387</f>
        <v>38944.53</v>
      </c>
      <c r="U49" s="240">
        <f>'[2]Combined Overview'!Z387</f>
        <v>51989</v>
      </c>
      <c r="V49" s="241"/>
    </row>
    <row r="50" spans="2:22" x14ac:dyDescent="0.25">
      <c r="B50" s="175">
        <v>5424</v>
      </c>
      <c r="C50" s="163" t="s">
        <v>303</v>
      </c>
      <c r="D50" s="176">
        <f>'[2]Combined Overview'!I375</f>
        <v>29.62</v>
      </c>
      <c r="E50" s="176">
        <f>'[2]Combined Overview'!J375</f>
        <v>29.62</v>
      </c>
      <c r="F50" s="176">
        <f>'[2]Combined Overview'!K375</f>
        <v>29.62</v>
      </c>
      <c r="G50" s="176">
        <f>'[2]Combined Overview'!L375</f>
        <v>29.62</v>
      </c>
      <c r="H50" s="176">
        <f>'[2]Combined Overview'!M375</f>
        <v>29.62</v>
      </c>
      <c r="I50" s="176">
        <f>'[2]Combined Overview'!N375</f>
        <v>29.62</v>
      </c>
      <c r="J50" s="176">
        <f>'[2]Combined Overview'!O375</f>
        <v>29.62</v>
      </c>
      <c r="K50" s="176">
        <f>'[2]Combined Overview'!P375</f>
        <v>29.62</v>
      </c>
      <c r="L50" s="176">
        <f>'[2]Combined Overview'!Q375</f>
        <v>29.62</v>
      </c>
      <c r="M50" s="176">
        <f>'[2]Combined Overview'!R375</f>
        <v>29.62</v>
      </c>
      <c r="N50" s="176">
        <f>'[2]Combined Overview'!S375</f>
        <v>29.62</v>
      </c>
      <c r="O50" s="176">
        <f>'[2]Combined Overview'!T375</f>
        <v>29.62</v>
      </c>
      <c r="P50" s="238">
        <f t="shared" si="2"/>
        <v>356</v>
      </c>
      <c r="Q50" s="239"/>
      <c r="R50" s="240"/>
      <c r="S50" s="240">
        <v>356</v>
      </c>
      <c r="T50" s="240">
        <f>'[2]Combined Overview'!Y375</f>
        <v>266.58</v>
      </c>
      <c r="U50" s="240">
        <f>'[2]Combined Overview'!Z375</f>
        <v>356</v>
      </c>
      <c r="V50" s="241"/>
    </row>
    <row r="51" spans="2:22" x14ac:dyDescent="0.25">
      <c r="B51" s="175">
        <v>5425</v>
      </c>
      <c r="C51" s="163" t="s">
        <v>304</v>
      </c>
      <c r="D51" s="176">
        <f>'[2]Combined Overview'!I381</f>
        <v>699.97</v>
      </c>
      <c r="E51" s="176">
        <f>'[2]Combined Overview'!J381</f>
        <v>699.97</v>
      </c>
      <c r="F51" s="176">
        <f>'[2]Combined Overview'!K381</f>
        <v>699.97</v>
      </c>
      <c r="G51" s="176">
        <f>'[2]Combined Overview'!L381</f>
        <v>699.97</v>
      </c>
      <c r="H51" s="176">
        <f>'[2]Combined Overview'!M381</f>
        <v>699.97</v>
      </c>
      <c r="I51" s="176">
        <f>'[2]Combined Overview'!N381</f>
        <v>699.97</v>
      </c>
      <c r="J51" s="176">
        <f>'[2]Combined Overview'!O381</f>
        <v>699.97</v>
      </c>
      <c r="K51" s="176">
        <f>'[2]Combined Overview'!P381</f>
        <v>699.97</v>
      </c>
      <c r="L51" s="176">
        <f>'[2]Combined Overview'!Q381</f>
        <v>699.97</v>
      </c>
      <c r="M51" s="176">
        <f>'[2]Combined Overview'!R381</f>
        <v>699.97</v>
      </c>
      <c r="N51" s="176">
        <f>'[2]Combined Overview'!S381</f>
        <v>699.97</v>
      </c>
      <c r="O51" s="176">
        <f>'[2]Combined Overview'!T381</f>
        <v>699.97</v>
      </c>
      <c r="P51" s="238">
        <f t="shared" si="2"/>
        <v>8400</v>
      </c>
      <c r="Q51" s="239"/>
      <c r="R51" s="240"/>
      <c r="S51" s="240">
        <v>8400</v>
      </c>
      <c r="T51" s="240">
        <f>'[2]Combined Overview'!Y381</f>
        <v>6299.73</v>
      </c>
      <c r="U51" s="240">
        <f>'[2]Combined Overview'!Z381</f>
        <v>8400</v>
      </c>
      <c r="V51" s="241"/>
    </row>
    <row r="52" spans="2:22" x14ac:dyDescent="0.25">
      <c r="B52" s="175">
        <v>5423</v>
      </c>
      <c r="C52" s="163" t="s">
        <v>305</v>
      </c>
      <c r="D52" s="176">
        <f>'[2]Combined Overview'!I369</f>
        <v>268.3</v>
      </c>
      <c r="E52" s="176">
        <f>'[2]Combined Overview'!J369</f>
        <v>268.3</v>
      </c>
      <c r="F52" s="176">
        <f>'[2]Combined Overview'!K369</f>
        <v>268.3</v>
      </c>
      <c r="G52" s="176">
        <f>'[2]Combined Overview'!L369</f>
        <v>268.3</v>
      </c>
      <c r="H52" s="176">
        <f>'[2]Combined Overview'!M369</f>
        <v>268.3</v>
      </c>
      <c r="I52" s="176">
        <f>'[2]Combined Overview'!N369</f>
        <v>268.3</v>
      </c>
      <c r="J52" s="176">
        <f>'[2]Combined Overview'!O369</f>
        <v>268.3</v>
      </c>
      <c r="K52" s="176">
        <f>'[2]Combined Overview'!P369</f>
        <v>268.3</v>
      </c>
      <c r="L52" s="176">
        <f>'[2]Combined Overview'!Q369</f>
        <v>268.3</v>
      </c>
      <c r="M52" s="176">
        <f>'[2]Combined Overview'!R369</f>
        <v>268.3</v>
      </c>
      <c r="N52" s="176">
        <f>'[2]Combined Overview'!S369</f>
        <v>268.3</v>
      </c>
      <c r="O52" s="176">
        <f>'[2]Combined Overview'!T369</f>
        <v>268.3</v>
      </c>
      <c r="P52" s="238">
        <f t="shared" si="2"/>
        <v>3220</v>
      </c>
      <c r="Q52" s="239"/>
      <c r="R52" s="240"/>
      <c r="S52" s="240">
        <v>3220</v>
      </c>
      <c r="T52" s="240">
        <f>'[2]Combined Overview'!Y369</f>
        <v>2624.8</v>
      </c>
      <c r="U52" s="240">
        <f>'[2]Combined Overview'!Z369</f>
        <v>4571</v>
      </c>
      <c r="V52" s="241"/>
    </row>
    <row r="53" spans="2:22" x14ac:dyDescent="0.25">
      <c r="B53" s="175">
        <v>8428</v>
      </c>
      <c r="C53" s="163" t="s">
        <v>306</v>
      </c>
      <c r="D53" s="176">
        <f>'[2]Combined Overview'!I494</f>
        <v>0</v>
      </c>
      <c r="E53" s="176">
        <f>'[2]Combined Overview'!J494</f>
        <v>0</v>
      </c>
      <c r="F53" s="176">
        <f>'[2]Combined Overview'!K494</f>
        <v>0</v>
      </c>
      <c r="G53" s="176">
        <f>'[2]Combined Overview'!L494</f>
        <v>0</v>
      </c>
      <c r="H53" s="176">
        <f>'[2]Combined Overview'!M494</f>
        <v>0</v>
      </c>
      <c r="I53" s="176">
        <f>'[2]Combined Overview'!N494</f>
        <v>0</v>
      </c>
      <c r="J53" s="176">
        <f>'[2]Combined Overview'!O494</f>
        <v>0</v>
      </c>
      <c r="K53" s="176">
        <f>'[2]Combined Overview'!P494</f>
        <v>0</v>
      </c>
      <c r="L53" s="176">
        <f>'[2]Combined Overview'!Q494</f>
        <v>0</v>
      </c>
      <c r="M53" s="176">
        <f>'[2]Combined Overview'!R494</f>
        <v>0</v>
      </c>
      <c r="N53" s="176">
        <f>'[2]Combined Overview'!S494</f>
        <v>0</v>
      </c>
      <c r="O53" s="176">
        <f>'[2]Combined Overview'!T494</f>
        <v>0</v>
      </c>
      <c r="P53" s="238">
        <f t="shared" si="2"/>
        <v>0</v>
      </c>
      <c r="Q53" s="242"/>
      <c r="R53" s="240"/>
      <c r="S53" s="240">
        <v>0</v>
      </c>
      <c r="T53" s="240">
        <f>'[2]Combined Overview'!Y494</f>
        <v>1403.28</v>
      </c>
      <c r="U53" s="240">
        <f>'[2]Combined Overview'!Z494</f>
        <v>1871</v>
      </c>
      <c r="V53" s="241"/>
    </row>
    <row r="54" spans="2:22" x14ac:dyDescent="0.25">
      <c r="B54" s="175">
        <v>5422</v>
      </c>
      <c r="C54" s="163" t="s">
        <v>307</v>
      </c>
      <c r="D54" s="176">
        <f>'[2]Combined Overview'!I363</f>
        <v>858.33</v>
      </c>
      <c r="E54" s="176">
        <f>'[2]Combined Overview'!J363</f>
        <v>858.33</v>
      </c>
      <c r="F54" s="176">
        <f>'[2]Combined Overview'!K363</f>
        <v>858.33</v>
      </c>
      <c r="G54" s="176">
        <f>'[2]Combined Overview'!L363</f>
        <v>858.33</v>
      </c>
      <c r="H54" s="176">
        <f>'[2]Combined Overview'!M363</f>
        <v>858.33</v>
      </c>
      <c r="I54" s="176">
        <f>'[2]Combined Overview'!N363</f>
        <v>858.33</v>
      </c>
      <c r="J54" s="176">
        <f>'[2]Combined Overview'!O363</f>
        <v>858.33</v>
      </c>
      <c r="K54" s="176">
        <f>'[2]Combined Overview'!P363</f>
        <v>858.33</v>
      </c>
      <c r="L54" s="176">
        <f>'[2]Combined Overview'!Q363</f>
        <v>858.33</v>
      </c>
      <c r="M54" s="176">
        <f>'[2]Combined Overview'!R363</f>
        <v>858.33</v>
      </c>
      <c r="N54" s="176">
        <f>'[2]Combined Overview'!S363</f>
        <v>858.33</v>
      </c>
      <c r="O54" s="176">
        <f>'[2]Combined Overview'!T363</f>
        <v>858.33</v>
      </c>
      <c r="P54" s="238">
        <f t="shared" si="2"/>
        <v>10300</v>
      </c>
      <c r="Q54" s="239"/>
      <c r="R54" s="240"/>
      <c r="S54" s="240">
        <v>10300</v>
      </c>
      <c r="T54" s="240">
        <f>'[2]Combined Overview'!Y363</f>
        <v>6099.97</v>
      </c>
      <c r="U54" s="240">
        <f>'[2]Combined Overview'!Z363</f>
        <v>6400</v>
      </c>
      <c r="V54" s="241"/>
    </row>
    <row r="55" spans="2:22" x14ac:dyDescent="0.25">
      <c r="B55" s="175">
        <v>5428</v>
      </c>
      <c r="C55" s="163" t="s">
        <v>308</v>
      </c>
      <c r="D55" s="176">
        <f>'[2]Combined Overview'!I357</f>
        <v>44.44</v>
      </c>
      <c r="E55" s="176">
        <f>'[2]Combined Overview'!J357</f>
        <v>44.44</v>
      </c>
      <c r="F55" s="176">
        <f>'[2]Combined Overview'!K357</f>
        <v>44.44</v>
      </c>
      <c r="G55" s="176">
        <f>'[2]Combined Overview'!L357</f>
        <v>44.44</v>
      </c>
      <c r="H55" s="176">
        <f>'[2]Combined Overview'!M357</f>
        <v>44.44</v>
      </c>
      <c r="I55" s="176">
        <f>'[2]Combined Overview'!N357</f>
        <v>44.44</v>
      </c>
      <c r="J55" s="176">
        <f>'[2]Combined Overview'!O357</f>
        <v>44.44</v>
      </c>
      <c r="K55" s="176">
        <f>'[2]Combined Overview'!P357</f>
        <v>44.44</v>
      </c>
      <c r="L55" s="176">
        <f>'[2]Combined Overview'!Q357</f>
        <v>44.44</v>
      </c>
      <c r="M55" s="176">
        <f>'[2]Combined Overview'!R357</f>
        <v>44.44</v>
      </c>
      <c r="N55" s="176">
        <f>'[2]Combined Overview'!S357</f>
        <v>44.44</v>
      </c>
      <c r="O55" s="176">
        <f>'[2]Combined Overview'!T357</f>
        <v>44.44</v>
      </c>
      <c r="P55" s="238">
        <f t="shared" si="2"/>
        <v>534</v>
      </c>
      <c r="Q55" s="242"/>
      <c r="R55" s="240"/>
      <c r="S55" s="240">
        <v>0</v>
      </c>
      <c r="T55" s="240">
        <f>'[2]Combined Overview'!Y357</f>
        <v>0</v>
      </c>
      <c r="U55" s="240">
        <f>'[2]Combined Overview'!Z357</f>
        <v>2797</v>
      </c>
      <c r="V55" s="243">
        <f>SUM(P49:P55)</f>
        <v>74737</v>
      </c>
    </row>
    <row r="56" spans="2:22" x14ac:dyDescent="0.25">
      <c r="B56" s="180" t="s">
        <v>309</v>
      </c>
      <c r="C56" s="181" t="s">
        <v>149</v>
      </c>
      <c r="D56" s="176">
        <f>+'[2]Combined Overview'!I$456+'[2]Combined Overview'!I$420+'[2]Combined Overview'!I$163</f>
        <v>8465.5</v>
      </c>
      <c r="E56" s="176">
        <f>+'[2]Combined Overview'!J$456+'[2]Combined Overview'!J$420+'[2]Combined Overview'!J$163</f>
        <v>221</v>
      </c>
      <c r="F56" s="176">
        <f>+'[2]Combined Overview'!K$456+'[2]Combined Overview'!K$420+'[2]Combined Overview'!K$163</f>
        <v>301</v>
      </c>
      <c r="G56" s="176">
        <f>+'[2]Combined Overview'!L$456+'[2]Combined Overview'!L$420+'[2]Combined Overview'!L$163</f>
        <v>500</v>
      </c>
      <c r="H56" s="176">
        <f>+'[2]Combined Overview'!M$456+'[2]Combined Overview'!M$420+'[2]Combined Overview'!M$163</f>
        <v>922</v>
      </c>
      <c r="I56" s="176">
        <f>+'[2]Combined Overview'!N$456+'[2]Combined Overview'!N$420+'[2]Combined Overview'!N$163</f>
        <v>2456</v>
      </c>
      <c r="J56" s="176">
        <f>+'[2]Combined Overview'!O$456+'[2]Combined Overview'!O$420+'[2]Combined Overview'!O$163</f>
        <v>536</v>
      </c>
      <c r="K56" s="176">
        <f>+'[2]Combined Overview'!P$456+'[2]Combined Overview'!P$420+'[2]Combined Overview'!P$163</f>
        <v>56</v>
      </c>
      <c r="L56" s="176">
        <f>+'[2]Combined Overview'!Q$456+'[2]Combined Overview'!Q$420+'[2]Combined Overview'!Q$163</f>
        <v>56</v>
      </c>
      <c r="M56" s="176">
        <f>+'[2]Combined Overview'!R$456+'[2]Combined Overview'!R$420+'[2]Combined Overview'!R$163</f>
        <v>56</v>
      </c>
      <c r="N56" s="176">
        <f>+'[2]Combined Overview'!S$456+'[2]Combined Overview'!S$420+'[2]Combined Overview'!S$163</f>
        <v>56</v>
      </c>
      <c r="O56" s="176">
        <f>+'[2]Combined Overview'!T$456+'[2]Combined Overview'!T$420+'[2]Combined Overview'!T$163</f>
        <v>10056</v>
      </c>
      <c r="P56" s="177">
        <f t="shared" si="2"/>
        <v>23682</v>
      </c>
      <c r="Q56" s="164"/>
      <c r="R56" s="161"/>
      <c r="S56" s="162">
        <v>13682</v>
      </c>
      <c r="T56" s="176">
        <f>+'[2]Combined Overview'!Y$456+'[2]Combined Overview'!Y$420+'[2]Combined Overview'!Y$163</f>
        <v>23296.46</v>
      </c>
      <c r="U56" s="176">
        <f>+'[2]Combined Overview'!Z$456+'[2]Combined Overview'!Z$420+'[2]Combined Overview'!Z$163</f>
        <v>26245</v>
      </c>
    </row>
    <row r="57" spans="2:22" x14ac:dyDescent="0.25">
      <c r="B57" s="183">
        <v>6560</v>
      </c>
      <c r="C57" s="163" t="s">
        <v>150</v>
      </c>
      <c r="D57" s="176">
        <f>'[2]Combined Overview'!I143</f>
        <v>10698.156666666666</v>
      </c>
      <c r="E57" s="176">
        <f>'[2]Combined Overview'!J143</f>
        <v>10698.156666666666</v>
      </c>
      <c r="F57" s="176">
        <f>'[2]Combined Overview'!K143</f>
        <v>10698.156666666666</v>
      </c>
      <c r="G57" s="176">
        <f>'[2]Combined Overview'!L143</f>
        <v>10698.156666666666</v>
      </c>
      <c r="H57" s="176">
        <f>'[2]Combined Overview'!M143</f>
        <v>10698.156666666666</v>
      </c>
      <c r="I57" s="176">
        <f>'[2]Combined Overview'!N143</f>
        <v>10698.156666666666</v>
      </c>
      <c r="J57" s="176">
        <f>'[2]Combined Overview'!O143</f>
        <v>10698.156666666666</v>
      </c>
      <c r="K57" s="176">
        <f>'[2]Combined Overview'!P143</f>
        <v>10698.156666666666</v>
      </c>
      <c r="L57" s="176">
        <f>'[2]Combined Overview'!Q143</f>
        <v>10698.156666666666</v>
      </c>
      <c r="M57" s="176">
        <f>'[2]Combined Overview'!R143</f>
        <v>10698.156666666666</v>
      </c>
      <c r="N57" s="176">
        <f>'[2]Combined Overview'!S143</f>
        <v>10698.156666666666</v>
      </c>
      <c r="O57" s="176">
        <f>'[2]Combined Overview'!T143</f>
        <v>10698.156666666666</v>
      </c>
      <c r="P57" s="229">
        <f t="shared" si="2"/>
        <v>128378</v>
      </c>
      <c r="Q57" s="230"/>
      <c r="R57" s="231"/>
      <c r="S57" s="231">
        <v>131933</v>
      </c>
      <c r="T57" s="231">
        <f>'[2]Combined Overview'!Y143</f>
        <v>68935.199999999997</v>
      </c>
      <c r="U57" s="231">
        <f>'[2]Combined Overview'!Z143</f>
        <v>112637</v>
      </c>
      <c r="V57" s="232"/>
    </row>
    <row r="58" spans="2:22" x14ac:dyDescent="0.25">
      <c r="B58" s="180" t="s">
        <v>310</v>
      </c>
      <c r="C58" s="181" t="s">
        <v>151</v>
      </c>
      <c r="D58" s="176">
        <f>+'[2]Combined Overview'!I$117+'[2]Combined Overview'!I$415+'[2]Combined Overview'!I$449</f>
        <v>3456.3487499999997</v>
      </c>
      <c r="E58" s="176">
        <f>+'[2]Combined Overview'!J$117+'[2]Combined Overview'!J$415+'[2]Combined Overview'!J$449</f>
        <v>3456.3487499999997</v>
      </c>
      <c r="F58" s="176">
        <f>+'[2]Combined Overview'!K$117+'[2]Combined Overview'!K$415+'[2]Combined Overview'!K$449</f>
        <v>3456.3487499999997</v>
      </c>
      <c r="G58" s="176">
        <f>+'[2]Combined Overview'!L$117+'[2]Combined Overview'!L$415+'[2]Combined Overview'!L$449</f>
        <v>3456.3487499999997</v>
      </c>
      <c r="H58" s="176">
        <f>+'[2]Combined Overview'!M$117+'[2]Combined Overview'!M$415+'[2]Combined Overview'!M$449</f>
        <v>3456.3487499999997</v>
      </c>
      <c r="I58" s="176">
        <f>+'[2]Combined Overview'!N$117+'[2]Combined Overview'!N$415+'[2]Combined Overview'!N$449</f>
        <v>3456.3487499999997</v>
      </c>
      <c r="J58" s="176">
        <f>+'[2]Combined Overview'!O$117+'[2]Combined Overview'!O$415+'[2]Combined Overview'!O$449</f>
        <v>3456.3487499999997</v>
      </c>
      <c r="K58" s="176">
        <f>+'[2]Combined Overview'!P$117+'[2]Combined Overview'!P$415+'[2]Combined Overview'!P$449</f>
        <v>3456.3487499999997</v>
      </c>
      <c r="L58" s="176">
        <f>+'[2]Combined Overview'!Q$117+'[2]Combined Overview'!Q$415+'[2]Combined Overview'!Q$449</f>
        <v>3456.3487499999997</v>
      </c>
      <c r="M58" s="176">
        <f>+'[2]Combined Overview'!R$117+'[2]Combined Overview'!R$415+'[2]Combined Overview'!R$449</f>
        <v>3456.3487499999997</v>
      </c>
      <c r="N58" s="176">
        <f>+'[2]Combined Overview'!S$117+'[2]Combined Overview'!S$415+'[2]Combined Overview'!S$449</f>
        <v>3456.3487499999997</v>
      </c>
      <c r="O58" s="176">
        <f>+'[2]Combined Overview'!T$117+'[2]Combined Overview'!T$415+'[2]Combined Overview'!T$449</f>
        <v>-17098.467083333333</v>
      </c>
      <c r="P58" s="229">
        <f t="shared" si="2"/>
        <v>20922</v>
      </c>
      <c r="Q58" s="233"/>
      <c r="R58" s="231"/>
      <c r="S58" s="231">
        <v>41611</v>
      </c>
      <c r="T58" s="231">
        <f>+'[2]Combined Overview'!Y$117+'[2]Combined Overview'!Y$415+'[2]Combined Overview'!Y$449</f>
        <v>10388.549999999999</v>
      </c>
      <c r="U58" s="231">
        <f>+'[2]Combined Overview'!Z$117+'[2]Combined Overview'!Z$415+'[2]Combined Overview'!Z$449</f>
        <v>30593</v>
      </c>
      <c r="V58" s="234">
        <f>SUM(P57:P58)</f>
        <v>149300</v>
      </c>
    </row>
    <row r="59" spans="2:22" x14ac:dyDescent="0.25">
      <c r="B59" s="182">
        <v>5215</v>
      </c>
      <c r="C59" s="289" t="s">
        <v>311</v>
      </c>
      <c r="D59" s="176">
        <f>'[2]Combined Overview'!I97</f>
        <v>50</v>
      </c>
      <c r="E59" s="176">
        <f>'[2]Combined Overview'!J97</f>
        <v>50</v>
      </c>
      <c r="F59" s="176">
        <f>'[2]Combined Overview'!K97</f>
        <v>50</v>
      </c>
      <c r="G59" s="176">
        <f>'[2]Combined Overview'!L97</f>
        <v>50</v>
      </c>
      <c r="H59" s="176">
        <f>'[2]Combined Overview'!M97</f>
        <v>50</v>
      </c>
      <c r="I59" s="176">
        <f>'[2]Combined Overview'!N97</f>
        <v>50</v>
      </c>
      <c r="J59" s="176">
        <f>'[2]Combined Overview'!O97</f>
        <v>50</v>
      </c>
      <c r="K59" s="176">
        <f>'[2]Combined Overview'!P97</f>
        <v>50</v>
      </c>
      <c r="L59" s="176">
        <f>'[2]Combined Overview'!Q97</f>
        <v>50</v>
      </c>
      <c r="M59" s="176">
        <f>'[2]Combined Overview'!R97</f>
        <v>50</v>
      </c>
      <c r="N59" s="176">
        <f>'[2]Combined Overview'!S97</f>
        <v>50</v>
      </c>
      <c r="O59" s="176">
        <f>'[2]Combined Overview'!T97</f>
        <v>50</v>
      </c>
      <c r="P59" s="177">
        <f t="shared" si="2"/>
        <v>600</v>
      </c>
      <c r="Q59" s="178"/>
      <c r="R59" s="161"/>
      <c r="S59" s="162">
        <v>600</v>
      </c>
      <c r="T59" s="176">
        <f>'[2]Combined Overview'!Y97</f>
        <v>463.61</v>
      </c>
      <c r="U59" s="176">
        <f>'[2]Combined Overview'!Z97</f>
        <v>0</v>
      </c>
    </row>
    <row r="60" spans="2:22" x14ac:dyDescent="0.25">
      <c r="B60" s="175">
        <v>8300</v>
      </c>
      <c r="C60" s="163" t="s">
        <v>155</v>
      </c>
      <c r="D60" s="176">
        <f>'[2]Combined Overview'!I455</f>
        <v>1000</v>
      </c>
      <c r="E60" s="176">
        <f>'[2]Combined Overview'!J455</f>
        <v>325</v>
      </c>
      <c r="F60" s="176">
        <f>'[2]Combined Overview'!K455</f>
        <v>200</v>
      </c>
      <c r="G60" s="176">
        <f>'[2]Combined Overview'!L455</f>
        <v>1850</v>
      </c>
      <c r="H60" s="176">
        <f>'[2]Combined Overview'!M455</f>
        <v>495</v>
      </c>
      <c r="I60" s="176">
        <f>'[2]Combined Overview'!N455</f>
        <v>100</v>
      </c>
      <c r="J60" s="176">
        <f>'[2]Combined Overview'!O455</f>
        <v>500</v>
      </c>
      <c r="K60" s="176">
        <f>'[2]Combined Overview'!P455</f>
        <v>300</v>
      </c>
      <c r="L60" s="176">
        <f>'[2]Combined Overview'!Q455</f>
        <v>325</v>
      </c>
      <c r="M60" s="176">
        <f>'[2]Combined Overview'!R455</f>
        <v>1850</v>
      </c>
      <c r="N60" s="176">
        <f>'[2]Combined Overview'!S455</f>
        <v>300</v>
      </c>
      <c r="O60" s="176">
        <f>'[2]Combined Overview'!T455</f>
        <v>11350</v>
      </c>
      <c r="P60" s="177">
        <f t="shared" si="2"/>
        <v>18595</v>
      </c>
      <c r="Q60" s="178"/>
      <c r="R60" s="161"/>
      <c r="S60" s="162">
        <v>18595</v>
      </c>
      <c r="T60" s="176">
        <f>'[2]Combined Overview'!Y455</f>
        <v>3984.69</v>
      </c>
      <c r="U60" s="176">
        <f>'[2]Combined Overview'!Z455</f>
        <v>6607</v>
      </c>
    </row>
    <row r="61" spans="2:22" x14ac:dyDescent="0.25">
      <c r="B61" s="182">
        <v>5211</v>
      </c>
      <c r="C61" s="289" t="s">
        <v>312</v>
      </c>
      <c r="D61" s="176">
        <f>'[2]Combined Overview'!I96</f>
        <v>100</v>
      </c>
      <c r="E61" s="176">
        <f>'[2]Combined Overview'!J96</f>
        <v>100</v>
      </c>
      <c r="F61" s="176">
        <f>'[2]Combined Overview'!K96</f>
        <v>100</v>
      </c>
      <c r="G61" s="176">
        <f>'[2]Combined Overview'!L96</f>
        <v>100</v>
      </c>
      <c r="H61" s="176">
        <f>'[2]Combined Overview'!M96</f>
        <v>100</v>
      </c>
      <c r="I61" s="176">
        <f>'[2]Combined Overview'!N96</f>
        <v>100</v>
      </c>
      <c r="J61" s="176">
        <f>'[2]Combined Overview'!O96</f>
        <v>100</v>
      </c>
      <c r="K61" s="176">
        <f>'[2]Combined Overview'!P96</f>
        <v>100</v>
      </c>
      <c r="L61" s="176">
        <f>'[2]Combined Overview'!Q96</f>
        <v>100</v>
      </c>
      <c r="M61" s="176">
        <f>'[2]Combined Overview'!R96</f>
        <v>100</v>
      </c>
      <c r="N61" s="176">
        <f>'[2]Combined Overview'!S96</f>
        <v>100</v>
      </c>
      <c r="O61" s="176">
        <f>'[2]Combined Overview'!T96</f>
        <v>100</v>
      </c>
      <c r="P61" s="177">
        <f t="shared" si="2"/>
        <v>1200</v>
      </c>
      <c r="Q61" s="178"/>
      <c r="R61" s="161"/>
      <c r="S61" s="162">
        <v>1200</v>
      </c>
      <c r="T61" s="176">
        <f>'[2]Combined Overview'!Y96</f>
        <v>78.45</v>
      </c>
      <c r="U61" s="176">
        <f>'[2]Combined Overview'!Z96</f>
        <v>875</v>
      </c>
    </row>
    <row r="62" spans="2:22" x14ac:dyDescent="0.25">
      <c r="B62" s="175">
        <v>5410</v>
      </c>
      <c r="C62" s="163" t="s">
        <v>158</v>
      </c>
      <c r="D62" s="176">
        <f>'[2]Combined Overview'!I350</f>
        <v>2803.16</v>
      </c>
      <c r="E62" s="176">
        <f>'[2]Combined Overview'!J350</f>
        <v>2878.48</v>
      </c>
      <c r="F62" s="176">
        <f>'[2]Combined Overview'!K350</f>
        <v>2860.65</v>
      </c>
      <c r="G62" s="176">
        <f>'[2]Combined Overview'!L350</f>
        <v>2751.05</v>
      </c>
      <c r="H62" s="176">
        <f>'[2]Combined Overview'!M350</f>
        <v>2824.43</v>
      </c>
      <c r="I62" s="176">
        <f>'[2]Combined Overview'!N350</f>
        <v>2715.86</v>
      </c>
      <c r="J62" s="176">
        <f>'[2]Combined Overview'!O350</f>
        <v>2787.93</v>
      </c>
      <c r="K62" s="176">
        <f>'[2]Combined Overview'!P350</f>
        <v>2769.75</v>
      </c>
      <c r="L62" s="176">
        <f>'[2]Combined Overview'!Q350</f>
        <v>2573.98</v>
      </c>
      <c r="M62" s="176">
        <f>'[2]Combined Overview'!R350</f>
        <v>2732.49</v>
      </c>
      <c r="N62" s="176">
        <f>'[2]Combined Overview'!S350</f>
        <v>2626.54</v>
      </c>
      <c r="O62" s="176">
        <f>'[2]Combined Overview'!T350</f>
        <v>2695.29</v>
      </c>
      <c r="P62" s="226">
        <f t="shared" ref="P62:P93" si="3">(ROUNDUP(SUM(D62:O62),0))</f>
        <v>33020</v>
      </c>
      <c r="Q62" s="227"/>
      <c r="R62" s="228"/>
      <c r="S62" s="228">
        <v>33020</v>
      </c>
      <c r="T62" s="228">
        <f>'[2]Combined Overview'!Y350</f>
        <v>26757.78</v>
      </c>
      <c r="U62" s="228">
        <f>'[2]Combined Overview'!Z350</f>
        <v>35460</v>
      </c>
      <c r="V62" s="237">
        <f>SUM(P62)</f>
        <v>33020</v>
      </c>
    </row>
    <row r="63" spans="2:22" x14ac:dyDescent="0.25">
      <c r="B63" s="182">
        <v>5220</v>
      </c>
      <c r="C63" s="163" t="s">
        <v>159</v>
      </c>
      <c r="D63" s="176">
        <f>'[2]Combined Overview'!I108</f>
        <v>0</v>
      </c>
      <c r="E63" s="176">
        <f>'[2]Combined Overview'!J108</f>
        <v>0</v>
      </c>
      <c r="F63" s="176">
        <f>'[2]Combined Overview'!K108</f>
        <v>17500</v>
      </c>
      <c r="G63" s="176">
        <f>'[2]Combined Overview'!L108</f>
        <v>0</v>
      </c>
      <c r="H63" s="176">
        <f>'[2]Combined Overview'!M108</f>
        <v>0</v>
      </c>
      <c r="I63" s="176">
        <f>'[2]Combined Overview'!N108</f>
        <v>17500</v>
      </c>
      <c r="J63" s="176">
        <f>'[2]Combined Overview'!O108</f>
        <v>0</v>
      </c>
      <c r="K63" s="176">
        <f>'[2]Combined Overview'!P108</f>
        <v>0</v>
      </c>
      <c r="L63" s="176">
        <f>'[2]Combined Overview'!Q108</f>
        <v>17500</v>
      </c>
      <c r="M63" s="176">
        <f>'[2]Combined Overview'!R108</f>
        <v>0</v>
      </c>
      <c r="N63" s="176">
        <f>'[2]Combined Overview'!S108</f>
        <v>0</v>
      </c>
      <c r="O63" s="176">
        <f>'[2]Combined Overview'!T108</f>
        <v>17500</v>
      </c>
      <c r="P63" s="235">
        <f t="shared" si="3"/>
        <v>70000</v>
      </c>
      <c r="Q63" s="178"/>
      <c r="R63" s="161"/>
      <c r="S63" s="162">
        <v>70000</v>
      </c>
      <c r="T63" s="176">
        <f>'[2]Combined Overview'!Y108</f>
        <v>48750</v>
      </c>
      <c r="U63" s="176">
        <f>'[2]Combined Overview'!Z108</f>
        <v>65000</v>
      </c>
      <c r="V63" s="236">
        <f>SUM(P63)</f>
        <v>70000</v>
      </c>
    </row>
    <row r="64" spans="2:22" x14ac:dyDescent="0.25">
      <c r="B64" s="180" t="s">
        <v>313</v>
      </c>
      <c r="C64" s="284" t="s">
        <v>160</v>
      </c>
      <c r="D64" s="176">
        <f>+'[2]Combined Overview'!I$487+'[2]Combined Overview'!I$438+'[2]Combined Overview'!I$321</f>
        <v>3398.99</v>
      </c>
      <c r="E64" s="176">
        <f>+'[2]Combined Overview'!J$487+'[2]Combined Overview'!J$438+'[2]Combined Overview'!J$321</f>
        <v>1848.99</v>
      </c>
      <c r="F64" s="176">
        <f>+'[2]Combined Overview'!K$487+'[2]Combined Overview'!K$438+'[2]Combined Overview'!K$321</f>
        <v>10398.99</v>
      </c>
      <c r="G64" s="176">
        <f>+'[2]Combined Overview'!L$487+'[2]Combined Overview'!L$438+'[2]Combined Overview'!L$321</f>
        <v>1848.99</v>
      </c>
      <c r="H64" s="176">
        <f>+'[2]Combined Overview'!M$487+'[2]Combined Overview'!M$438+'[2]Combined Overview'!M$321</f>
        <v>2208.94</v>
      </c>
      <c r="I64" s="176">
        <f>+'[2]Combined Overview'!N$487+'[2]Combined Overview'!N$438+'[2]Combined Overview'!N$321</f>
        <v>4923.49</v>
      </c>
      <c r="J64" s="176">
        <f>+'[2]Combined Overview'!O$487+'[2]Combined Overview'!O$438+'[2]Combined Overview'!O$321</f>
        <v>1898.99</v>
      </c>
      <c r="K64" s="176">
        <f>+'[2]Combined Overview'!P$487+'[2]Combined Overview'!P$438+'[2]Combined Overview'!P$321</f>
        <v>1848.99</v>
      </c>
      <c r="L64" s="176">
        <f>+'[2]Combined Overview'!Q$487+'[2]Combined Overview'!Q$438+'[2]Combined Overview'!Q$321</f>
        <v>4898.99</v>
      </c>
      <c r="M64" s="176">
        <f>+'[2]Combined Overview'!R$487+'[2]Combined Overview'!R$438+'[2]Combined Overview'!R$321</f>
        <v>1848.99</v>
      </c>
      <c r="N64" s="176">
        <f>+'[2]Combined Overview'!S$487+'[2]Combined Overview'!S$438+'[2]Combined Overview'!S$321</f>
        <v>6636.99</v>
      </c>
      <c r="O64" s="176">
        <f>+'[2]Combined Overview'!T$487+'[2]Combined Overview'!T$438+'[2]Combined Overview'!T$321</f>
        <v>4898.99</v>
      </c>
      <c r="P64" s="177">
        <f t="shared" si="3"/>
        <v>46661</v>
      </c>
      <c r="Q64" s="164"/>
      <c r="R64" s="161"/>
      <c r="S64" s="162">
        <v>46661</v>
      </c>
      <c r="T64" s="176">
        <f>+'[2]Combined Overview'!Y$487+'[2]Combined Overview'!Y$438+'[2]Combined Overview'!Y$321</f>
        <v>26968.59</v>
      </c>
      <c r="U64" s="176">
        <f>+'[2]Combined Overview'!Z$487+'[2]Combined Overview'!Z$438+'[2]Combined Overview'!Z$321</f>
        <v>39517.9</v>
      </c>
    </row>
    <row r="65" spans="2:22" x14ac:dyDescent="0.25">
      <c r="B65" s="180" t="s">
        <v>314</v>
      </c>
      <c r="C65" s="284" t="s">
        <v>315</v>
      </c>
      <c r="D65" s="176">
        <f>+'[2]Combined Overview'!I$252+'[2]Combined Overview'!I$432+'[2]Combined Overview'!I$478</f>
        <v>1098</v>
      </c>
      <c r="E65" s="176">
        <f>+'[2]Combined Overview'!J$252+'[2]Combined Overview'!J$432+'[2]Combined Overview'!J$478</f>
        <v>1048</v>
      </c>
      <c r="F65" s="176">
        <f>+'[2]Combined Overview'!K$252+'[2]Combined Overview'!K$432+'[2]Combined Overview'!K$478</f>
        <v>1048</v>
      </c>
      <c r="G65" s="176">
        <f>+'[2]Combined Overview'!L$252+'[2]Combined Overview'!L$432+'[2]Combined Overview'!L$478</f>
        <v>1048</v>
      </c>
      <c r="H65" s="176">
        <f>+'[2]Combined Overview'!M$252+'[2]Combined Overview'!M$432+'[2]Combined Overview'!M$478</f>
        <v>1048</v>
      </c>
      <c r="I65" s="176">
        <f>+'[2]Combined Overview'!N$252+'[2]Combined Overview'!N$432+'[2]Combined Overview'!N$478</f>
        <v>1048</v>
      </c>
      <c r="J65" s="176">
        <f>+'[2]Combined Overview'!O$252+'[2]Combined Overview'!O$432+'[2]Combined Overview'!O$478</f>
        <v>1501</v>
      </c>
      <c r="K65" s="176">
        <f>+'[2]Combined Overview'!P$252+'[2]Combined Overview'!P$432+'[2]Combined Overview'!P$478</f>
        <v>1048</v>
      </c>
      <c r="L65" s="176">
        <f>+'[2]Combined Overview'!Q$252+'[2]Combined Overview'!Q$432+'[2]Combined Overview'!Q$478</f>
        <v>1048</v>
      </c>
      <c r="M65" s="176">
        <f>+'[2]Combined Overview'!R$252+'[2]Combined Overview'!R$432+'[2]Combined Overview'!R$478</f>
        <v>1048</v>
      </c>
      <c r="N65" s="176">
        <f>+'[2]Combined Overview'!S$252+'[2]Combined Overview'!S$432+'[2]Combined Overview'!S$478</f>
        <v>1048</v>
      </c>
      <c r="O65" s="176">
        <f>+'[2]Combined Overview'!T$252+'[2]Combined Overview'!T$432+'[2]Combined Overview'!T$478</f>
        <v>1048</v>
      </c>
      <c r="P65" s="177">
        <f t="shared" si="3"/>
        <v>13079</v>
      </c>
      <c r="Q65" s="164"/>
      <c r="R65" s="161"/>
      <c r="S65" s="162">
        <v>13079</v>
      </c>
      <c r="T65" s="176">
        <f>+'[2]Combined Overview'!Y$252+'[2]Combined Overview'!Y$432+'[2]Combined Overview'!Y$478</f>
        <v>10814.039999999997</v>
      </c>
      <c r="U65" s="176">
        <f>+'[2]Combined Overview'!Z$252+'[2]Combined Overview'!Z$432+'[2]Combined Overview'!Z$478</f>
        <v>17942</v>
      </c>
    </row>
    <row r="66" spans="2:22" x14ac:dyDescent="0.25">
      <c r="B66" s="180" t="s">
        <v>316</v>
      </c>
      <c r="C66" s="181" t="s">
        <v>162</v>
      </c>
      <c r="D66" s="176">
        <f>+'[2]Combined Overview'!I$421+'[2]Combined Overview'!I$157</f>
        <v>0</v>
      </c>
      <c r="E66" s="176">
        <f>+'[2]Combined Overview'!J$421+'[2]Combined Overview'!J$157</f>
        <v>325</v>
      </c>
      <c r="F66" s="176">
        <f>+'[2]Combined Overview'!K$421+'[2]Combined Overview'!K$157</f>
        <v>0</v>
      </c>
      <c r="G66" s="176">
        <f>+'[2]Combined Overview'!L$421+'[2]Combined Overview'!L$157</f>
        <v>1000</v>
      </c>
      <c r="H66" s="176">
        <f>+'[2]Combined Overview'!M$421+'[2]Combined Overview'!M$157</f>
        <v>0</v>
      </c>
      <c r="I66" s="176">
        <f>+'[2]Combined Overview'!N$421+'[2]Combined Overview'!N$157</f>
        <v>325</v>
      </c>
      <c r="J66" s="176">
        <f>+'[2]Combined Overview'!O$421+'[2]Combined Overview'!O$157</f>
        <v>0</v>
      </c>
      <c r="K66" s="176">
        <f>+'[2]Combined Overview'!P$421+'[2]Combined Overview'!P$157</f>
        <v>500</v>
      </c>
      <c r="L66" s="176">
        <f>+'[2]Combined Overview'!Q$421+'[2]Combined Overview'!Q$157</f>
        <v>0</v>
      </c>
      <c r="M66" s="176">
        <f>+'[2]Combined Overview'!R$421+'[2]Combined Overview'!R$157</f>
        <v>325</v>
      </c>
      <c r="N66" s="176">
        <f>+'[2]Combined Overview'!S$421+'[2]Combined Overview'!S$157</f>
        <v>0</v>
      </c>
      <c r="O66" s="176">
        <f>+'[2]Combined Overview'!T$421+'[2]Combined Overview'!T$157</f>
        <v>1000</v>
      </c>
      <c r="P66" s="177">
        <f t="shared" si="3"/>
        <v>3475</v>
      </c>
      <c r="Q66" s="164"/>
      <c r="R66" s="161"/>
      <c r="S66" s="162">
        <v>3475</v>
      </c>
      <c r="T66" s="176">
        <f>+'[2]Combined Overview'!Y$421+'[2]Combined Overview'!Y$157</f>
        <v>6008.25</v>
      </c>
      <c r="U66" s="176">
        <f>+'[2]Combined Overview'!Z$421+'[2]Combined Overview'!Z$157</f>
        <v>3075</v>
      </c>
    </row>
    <row r="67" spans="2:22" x14ac:dyDescent="0.25">
      <c r="B67" s="180" t="s">
        <v>317</v>
      </c>
      <c r="C67" s="181" t="s">
        <v>318</v>
      </c>
      <c r="D67" s="176">
        <f>+'[2]Combined Overview'!I$68+'[2]Combined Overview'!I$412+'[2]Combined Overview'!I$446</f>
        <v>5331</v>
      </c>
      <c r="E67" s="176">
        <f>+'[2]Combined Overview'!J$68+'[2]Combined Overview'!J$412+'[2]Combined Overview'!J$446</f>
        <v>0</v>
      </c>
      <c r="F67" s="176">
        <f>+'[2]Combined Overview'!K$68+'[2]Combined Overview'!K$412+'[2]Combined Overview'!K$446</f>
        <v>5331</v>
      </c>
      <c r="G67" s="176">
        <f>+'[2]Combined Overview'!L$68+'[2]Combined Overview'!L$412+'[2]Combined Overview'!L$446</f>
        <v>0</v>
      </c>
      <c r="H67" s="176">
        <f>+'[2]Combined Overview'!M$68+'[2]Combined Overview'!M$412+'[2]Combined Overview'!M$446</f>
        <v>0</v>
      </c>
      <c r="I67" s="176">
        <f>+'[2]Combined Overview'!N$68+'[2]Combined Overview'!N$412+'[2]Combined Overview'!N$446</f>
        <v>5331</v>
      </c>
      <c r="J67" s="176">
        <f>+'[2]Combined Overview'!O$68+'[2]Combined Overview'!O$412+'[2]Combined Overview'!O$446</f>
        <v>0</v>
      </c>
      <c r="K67" s="176">
        <f>+'[2]Combined Overview'!P$68+'[2]Combined Overview'!P$412+'[2]Combined Overview'!P$446</f>
        <v>3850</v>
      </c>
      <c r="L67" s="176">
        <f>+'[2]Combined Overview'!Q$68+'[2]Combined Overview'!Q$412+'[2]Combined Overview'!Q$446</f>
        <v>5865</v>
      </c>
      <c r="M67" s="176">
        <f>+'[2]Combined Overview'!R$68+'[2]Combined Overview'!R$412+'[2]Combined Overview'!R$446</f>
        <v>0</v>
      </c>
      <c r="N67" s="176">
        <f>+'[2]Combined Overview'!S$68+'[2]Combined Overview'!S$412+'[2]Combined Overview'!S$446</f>
        <v>0</v>
      </c>
      <c r="O67" s="176">
        <f>+'[2]Combined Overview'!T$68+'[2]Combined Overview'!T$412+'[2]Combined Overview'!T$446</f>
        <v>0</v>
      </c>
      <c r="P67" s="177">
        <f t="shared" si="3"/>
        <v>25708</v>
      </c>
      <c r="Q67" s="164"/>
      <c r="R67" s="161"/>
      <c r="S67" s="162">
        <v>25708</v>
      </c>
      <c r="T67" s="176">
        <f>+'[2]Combined Overview'!Y$68+'[2]Combined Overview'!Y$412+'[2]Combined Overview'!Y$446</f>
        <v>21601.25</v>
      </c>
      <c r="U67" s="176">
        <f>+'[2]Combined Overview'!Z$68+'[2]Combined Overview'!Z$412+'[2]Combined Overview'!Z$446</f>
        <v>21821</v>
      </c>
    </row>
    <row r="68" spans="2:22" x14ac:dyDescent="0.25">
      <c r="B68" s="182">
        <v>5214</v>
      </c>
      <c r="C68" s="289" t="s">
        <v>164</v>
      </c>
      <c r="D68" s="176">
        <f>'[2]Combined Overview'!I99</f>
        <v>250</v>
      </c>
      <c r="E68" s="176">
        <f>'[2]Combined Overview'!J99</f>
        <v>1049</v>
      </c>
      <c r="F68" s="176">
        <f>'[2]Combined Overview'!K99</f>
        <v>250</v>
      </c>
      <c r="G68" s="176">
        <f>'[2]Combined Overview'!L99</f>
        <v>250</v>
      </c>
      <c r="H68" s="176">
        <f>'[2]Combined Overview'!M99</f>
        <v>250</v>
      </c>
      <c r="I68" s="176">
        <f>'[2]Combined Overview'!N99</f>
        <v>250</v>
      </c>
      <c r="J68" s="176">
        <f>'[2]Combined Overview'!O99</f>
        <v>250</v>
      </c>
      <c r="K68" s="176">
        <f>'[2]Combined Overview'!P99</f>
        <v>550</v>
      </c>
      <c r="L68" s="176">
        <f>'[2]Combined Overview'!Q99</f>
        <v>250</v>
      </c>
      <c r="M68" s="176">
        <f>'[2]Combined Overview'!R99</f>
        <v>250</v>
      </c>
      <c r="N68" s="176">
        <f>'[2]Combined Overview'!S99</f>
        <v>250</v>
      </c>
      <c r="O68" s="176">
        <f>'[2]Combined Overview'!T99</f>
        <v>250</v>
      </c>
      <c r="P68" s="177">
        <f t="shared" si="3"/>
        <v>4099</v>
      </c>
      <c r="Q68" s="178"/>
      <c r="R68" s="161"/>
      <c r="S68" s="162">
        <v>2349</v>
      </c>
      <c r="T68" s="176">
        <f>'[2]Combined Overview'!Y99</f>
        <v>1149.21</v>
      </c>
      <c r="U68" s="176">
        <f>'[2]Combined Overview'!Z99</f>
        <v>8210</v>
      </c>
    </row>
    <row r="69" spans="2:22" x14ac:dyDescent="0.25">
      <c r="B69" s="184" t="s">
        <v>319</v>
      </c>
      <c r="C69" s="284" t="s">
        <v>320</v>
      </c>
      <c r="D69" s="176">
        <f>+'[2]Combined Overview'!I$481+'[2]Combined Overview'!I$435+'[2]Combined Overview'!I$304</f>
        <v>122</v>
      </c>
      <c r="E69" s="176">
        <f>+'[2]Combined Overview'!J$481+'[2]Combined Overview'!J$435+'[2]Combined Overview'!J$304</f>
        <v>122</v>
      </c>
      <c r="F69" s="176">
        <f>+'[2]Combined Overview'!K$481+'[2]Combined Overview'!K$435+'[2]Combined Overview'!K$304</f>
        <v>122</v>
      </c>
      <c r="G69" s="176">
        <f>+'[2]Combined Overview'!L$481+'[2]Combined Overview'!L$435+'[2]Combined Overview'!L$304</f>
        <v>122</v>
      </c>
      <c r="H69" s="176">
        <f>+'[2]Combined Overview'!M$481+'[2]Combined Overview'!M$435+'[2]Combined Overview'!M$304</f>
        <v>122</v>
      </c>
      <c r="I69" s="176">
        <f>+'[2]Combined Overview'!N$481+'[2]Combined Overview'!N$435+'[2]Combined Overview'!N$304</f>
        <v>122</v>
      </c>
      <c r="J69" s="176">
        <f>+'[2]Combined Overview'!O$481+'[2]Combined Overview'!O$435+'[2]Combined Overview'!O$304</f>
        <v>122</v>
      </c>
      <c r="K69" s="176">
        <f>+'[2]Combined Overview'!P$481+'[2]Combined Overview'!P$435+'[2]Combined Overview'!P$304</f>
        <v>122</v>
      </c>
      <c r="L69" s="176">
        <f>+'[2]Combined Overview'!Q$481+'[2]Combined Overview'!Q$435+'[2]Combined Overview'!Q$304</f>
        <v>122</v>
      </c>
      <c r="M69" s="176">
        <f>+'[2]Combined Overview'!R$481+'[2]Combined Overview'!R$435+'[2]Combined Overview'!R$304</f>
        <v>122</v>
      </c>
      <c r="N69" s="176">
        <f>+'[2]Combined Overview'!S$481+'[2]Combined Overview'!S$435+'[2]Combined Overview'!S$304</f>
        <v>122</v>
      </c>
      <c r="O69" s="176">
        <f>+'[2]Combined Overview'!T$481+'[2]Combined Overview'!T$435+'[2]Combined Overview'!T$304</f>
        <v>122</v>
      </c>
      <c r="P69" s="177">
        <f t="shared" si="3"/>
        <v>1464</v>
      </c>
      <c r="Q69" s="164"/>
      <c r="R69" s="161"/>
      <c r="S69" s="162">
        <v>1464</v>
      </c>
      <c r="T69" s="176">
        <f>+'[2]Combined Overview'!Y$481+'[2]Combined Overview'!Y$435+'[2]Combined Overview'!Y$304</f>
        <v>826.79</v>
      </c>
      <c r="U69" s="176">
        <f>+'[2]Combined Overview'!Z$481+'[2]Combined Overview'!Z$435+'[2]Combined Overview'!Z$304</f>
        <v>900</v>
      </c>
    </row>
    <row r="70" spans="2:22" x14ac:dyDescent="0.25">
      <c r="B70" s="180" t="s">
        <v>321</v>
      </c>
      <c r="C70" s="181" t="s">
        <v>166</v>
      </c>
      <c r="D70" s="176">
        <f>+'[2]Combined Overview'!I$395+'[2]Combined Overview'!I$442+'[2]Combined Overview'!I$497</f>
        <v>601.66666666666674</v>
      </c>
      <c r="E70" s="176">
        <f>+'[2]Combined Overview'!J$395+'[2]Combined Overview'!J$442+'[2]Combined Overview'!J$497</f>
        <v>841.66666666666674</v>
      </c>
      <c r="F70" s="176">
        <f>+'[2]Combined Overview'!K$395+'[2]Combined Overview'!K$442+'[2]Combined Overview'!K$497</f>
        <v>631.66666666666674</v>
      </c>
      <c r="G70" s="176">
        <f>+'[2]Combined Overview'!L$395+'[2]Combined Overview'!L$442+'[2]Combined Overview'!L$497</f>
        <v>601.66666666666674</v>
      </c>
      <c r="H70" s="176">
        <f>+'[2]Combined Overview'!M$395+'[2]Combined Overview'!M$442+'[2]Combined Overview'!M$497</f>
        <v>601.66666666666674</v>
      </c>
      <c r="I70" s="176">
        <f>+'[2]Combined Overview'!N$395+'[2]Combined Overview'!N$442+'[2]Combined Overview'!N$497</f>
        <v>781.66666666666674</v>
      </c>
      <c r="J70" s="176">
        <f>+'[2]Combined Overview'!O$395+'[2]Combined Overview'!O$442+'[2]Combined Overview'!O$497</f>
        <v>751.66666666666674</v>
      </c>
      <c r="K70" s="176">
        <f>+'[2]Combined Overview'!P$395+'[2]Combined Overview'!P$442+'[2]Combined Overview'!P$497</f>
        <v>841.66666666666674</v>
      </c>
      <c r="L70" s="176">
        <f>+'[2]Combined Overview'!Q$395+'[2]Combined Overview'!Q$442+'[2]Combined Overview'!Q$497</f>
        <v>791.66666666666674</v>
      </c>
      <c r="M70" s="176">
        <f>+'[2]Combined Overview'!R$395+'[2]Combined Overview'!R$442+'[2]Combined Overview'!R$497</f>
        <v>751.66666666666674</v>
      </c>
      <c r="N70" s="176">
        <f>+'[2]Combined Overview'!S$395+'[2]Combined Overview'!S$442+'[2]Combined Overview'!S$497</f>
        <v>261.66666666666669</v>
      </c>
      <c r="O70" s="176">
        <f>+'[2]Combined Overview'!T$395+'[2]Combined Overview'!T$442+'[2]Combined Overview'!T$497</f>
        <v>916.66666666666674</v>
      </c>
      <c r="P70" s="177">
        <f t="shared" si="3"/>
        <v>8375</v>
      </c>
      <c r="Q70" s="164"/>
      <c r="R70" s="161">
        <v>0</v>
      </c>
      <c r="S70" s="162">
        <v>9000</v>
      </c>
      <c r="T70" s="176">
        <f>+'[2]Combined Overview'!Y$395+'[2]Combined Overview'!Y$442+'[2]Combined Overview'!Y$497</f>
        <v>6602.01</v>
      </c>
      <c r="U70" s="176">
        <f>+'[2]Combined Overview'!Z$395+'[2]Combined Overview'!Z$442+'[2]Combined Overview'!Z$497</f>
        <v>8685</v>
      </c>
    </row>
    <row r="71" spans="2:22" x14ac:dyDescent="0.25">
      <c r="B71" s="182">
        <v>5203</v>
      </c>
      <c r="C71" s="163" t="s">
        <v>167</v>
      </c>
      <c r="D71" s="176">
        <f>'[2]Combined Overview'!I75</f>
        <v>0</v>
      </c>
      <c r="E71" s="176">
        <f>'[2]Combined Overview'!J75</f>
        <v>0</v>
      </c>
      <c r="F71" s="176">
        <f>'[2]Combined Overview'!K75</f>
        <v>0</v>
      </c>
      <c r="G71" s="176">
        <f>'[2]Combined Overview'!L75</f>
        <v>0</v>
      </c>
      <c r="H71" s="176">
        <f>'[2]Combined Overview'!M75</f>
        <v>84179.177500000005</v>
      </c>
      <c r="I71" s="176">
        <f>'[2]Combined Overview'!N75</f>
        <v>168358.35500000001</v>
      </c>
      <c r="J71" s="176">
        <f>'[2]Combined Overview'!O75</f>
        <v>84179.177500000005</v>
      </c>
      <c r="K71" s="176">
        <f>'[2]Combined Overview'!P75</f>
        <v>0</v>
      </c>
      <c r="L71" s="176">
        <f>'[2]Combined Overview'!Q75</f>
        <v>0</v>
      </c>
      <c r="M71" s="176">
        <f>'[2]Combined Overview'!R75</f>
        <v>0</v>
      </c>
      <c r="N71" s="176">
        <f>'[2]Combined Overview'!S75</f>
        <v>0</v>
      </c>
      <c r="O71" s="176">
        <f>'[2]Combined Overview'!T75</f>
        <v>103283.28750000001</v>
      </c>
      <c r="P71" s="224">
        <f t="shared" si="3"/>
        <v>440000</v>
      </c>
      <c r="Q71" s="178"/>
      <c r="R71" s="161">
        <v>0</v>
      </c>
      <c r="S71" s="162">
        <v>440000</v>
      </c>
      <c r="T71" s="176">
        <f>'[2]Combined Overview'!Y75</f>
        <v>336716.71</v>
      </c>
      <c r="U71" s="176">
        <f>'[2]Combined Overview'!Z75</f>
        <v>600000</v>
      </c>
      <c r="V71" s="225">
        <f>SUM(P71)</f>
        <v>440000</v>
      </c>
    </row>
    <row r="72" spans="2:22" x14ac:dyDescent="0.25">
      <c r="B72" s="184" t="s">
        <v>322</v>
      </c>
      <c r="C72" s="284" t="s">
        <v>169</v>
      </c>
      <c r="D72" s="176">
        <f>+'[2]Combined Overview'!I$476+'[2]Combined Overview'!I$430+'[2]Combined Overview'!I$225</f>
        <v>1901.9</v>
      </c>
      <c r="E72" s="176">
        <f>+'[2]Combined Overview'!J$476+'[2]Combined Overview'!J$430+'[2]Combined Overview'!J$225</f>
        <v>1901.9</v>
      </c>
      <c r="F72" s="176">
        <f>+'[2]Combined Overview'!K$476+'[2]Combined Overview'!K$430+'[2]Combined Overview'!K$225</f>
        <v>1901.9</v>
      </c>
      <c r="G72" s="176">
        <f>+'[2]Combined Overview'!L$476+'[2]Combined Overview'!L$430+'[2]Combined Overview'!L$225</f>
        <v>1901.9</v>
      </c>
      <c r="H72" s="176">
        <f>+'[2]Combined Overview'!M$476+'[2]Combined Overview'!M$430+'[2]Combined Overview'!M$225</f>
        <v>1901.9</v>
      </c>
      <c r="I72" s="176">
        <f>+'[2]Combined Overview'!N$476+'[2]Combined Overview'!N$430+'[2]Combined Overview'!N$225</f>
        <v>1901.9</v>
      </c>
      <c r="J72" s="176">
        <f>+'[2]Combined Overview'!O$476+'[2]Combined Overview'!O$430+'[2]Combined Overview'!O$225</f>
        <v>1901.9</v>
      </c>
      <c r="K72" s="176">
        <f>+'[2]Combined Overview'!P$476+'[2]Combined Overview'!P$430+'[2]Combined Overview'!P$225</f>
        <v>1901.9</v>
      </c>
      <c r="L72" s="176">
        <f>+'[2]Combined Overview'!Q$476+'[2]Combined Overview'!Q$430+'[2]Combined Overview'!Q$225</f>
        <v>1901.9</v>
      </c>
      <c r="M72" s="176">
        <f>+'[2]Combined Overview'!R$476+'[2]Combined Overview'!R$430+'[2]Combined Overview'!R$225</f>
        <v>1901.9</v>
      </c>
      <c r="N72" s="176">
        <f>+'[2]Combined Overview'!S$476+'[2]Combined Overview'!S$430+'[2]Combined Overview'!S$225</f>
        <v>1901.9</v>
      </c>
      <c r="O72" s="176">
        <f>+'[2]Combined Overview'!T$476+'[2]Combined Overview'!T$430+'[2]Combined Overview'!T$225</f>
        <v>1901.9</v>
      </c>
      <c r="P72" s="177">
        <f t="shared" si="3"/>
        <v>22823</v>
      </c>
      <c r="Q72" s="164"/>
      <c r="R72" s="161"/>
      <c r="S72" s="162">
        <v>22823</v>
      </c>
      <c r="T72" s="176">
        <f>+'[2]Combined Overview'!Y$476+'[2]Combined Overview'!Y$430+'[2]Combined Overview'!Y$225</f>
        <v>17100</v>
      </c>
      <c r="U72" s="176">
        <f>+'[2]Combined Overview'!Z$476+'[2]Combined Overview'!Z$430+'[2]Combined Overview'!Z$225</f>
        <v>22800</v>
      </c>
    </row>
    <row r="73" spans="2:22" x14ac:dyDescent="0.25">
      <c r="B73" s="180" t="s">
        <v>323</v>
      </c>
      <c r="C73" s="284" t="s">
        <v>324</v>
      </c>
      <c r="D73" s="176">
        <f>+'[2]Combined Overview'!I$173+'[2]Combined Overview'!I$423+'[2]Combined Overview'!I$463</f>
        <v>1770.3333333333333</v>
      </c>
      <c r="E73" s="176">
        <f>+'[2]Combined Overview'!J$173+'[2]Combined Overview'!J$423+'[2]Combined Overview'!J$463</f>
        <v>608.33333333333326</v>
      </c>
      <c r="F73" s="176">
        <f>+'[2]Combined Overview'!K$173+'[2]Combined Overview'!K$423+'[2]Combined Overview'!K$463</f>
        <v>383.33333333333331</v>
      </c>
      <c r="G73" s="176">
        <f>+'[2]Combined Overview'!L$173+'[2]Combined Overview'!L$423+'[2]Combined Overview'!L$463</f>
        <v>920.33333333333326</v>
      </c>
      <c r="H73" s="176">
        <f>+'[2]Combined Overview'!M$173+'[2]Combined Overview'!M$423+'[2]Combined Overview'!M$463</f>
        <v>383.33333333333331</v>
      </c>
      <c r="I73" s="176">
        <f>+'[2]Combined Overview'!N$173+'[2]Combined Overview'!N$423+'[2]Combined Overview'!N$463</f>
        <v>967.33333333333326</v>
      </c>
      <c r="J73" s="176">
        <f>+'[2]Combined Overview'!O$173+'[2]Combined Overview'!O$423+'[2]Combined Overview'!O$463</f>
        <v>920.33333333333326</v>
      </c>
      <c r="K73" s="176">
        <f>+'[2]Combined Overview'!P$173+'[2]Combined Overview'!P$423+'[2]Combined Overview'!P$463</f>
        <v>383.33333333333331</v>
      </c>
      <c r="L73" s="176">
        <f>+'[2]Combined Overview'!Q$173+'[2]Combined Overview'!Q$423+'[2]Combined Overview'!Q$463</f>
        <v>383.33333333333331</v>
      </c>
      <c r="M73" s="176">
        <f>+'[2]Combined Overview'!R$173+'[2]Combined Overview'!R$423+'[2]Combined Overview'!R$463</f>
        <v>920.33333333333326</v>
      </c>
      <c r="N73" s="176">
        <f>+'[2]Combined Overview'!S$173+'[2]Combined Overview'!S$423+'[2]Combined Overview'!S$463</f>
        <v>-616.66666666666674</v>
      </c>
      <c r="O73" s="176">
        <f>+'[2]Combined Overview'!T$173+'[2]Combined Overview'!T$423+'[2]Combined Overview'!T$463</f>
        <v>695.33333333333326</v>
      </c>
      <c r="P73" s="177">
        <f t="shared" si="3"/>
        <v>7719</v>
      </c>
      <c r="Q73" s="164"/>
      <c r="R73" s="161">
        <v>0</v>
      </c>
      <c r="S73" s="162">
        <v>7019</v>
      </c>
      <c r="T73" s="176">
        <f>+'[2]Combined Overview'!Y$173+'[2]Combined Overview'!Y$423+'[2]Combined Overview'!Y$463</f>
        <v>6720.29</v>
      </c>
      <c r="U73" s="176">
        <f>+'[2]Combined Overview'!Z$173+'[2]Combined Overview'!Z$423+'[2]Combined Overview'!Z$463</f>
        <v>9335</v>
      </c>
    </row>
    <row r="74" spans="2:22" x14ac:dyDescent="0.25">
      <c r="B74" s="175" t="s">
        <v>325</v>
      </c>
      <c r="C74" s="289" t="s">
        <v>326</v>
      </c>
      <c r="D74" s="176">
        <f>'[2]Combined Overview'!I311</f>
        <v>0</v>
      </c>
      <c r="E74" s="176">
        <f>'[2]Combined Overview'!J311</f>
        <v>0</v>
      </c>
      <c r="F74" s="176">
        <f>'[2]Combined Overview'!K311</f>
        <v>0</v>
      </c>
      <c r="G74" s="176">
        <f>'[2]Combined Overview'!L311</f>
        <v>0</v>
      </c>
      <c r="H74" s="176">
        <f>'[2]Combined Overview'!M311</f>
        <v>0</v>
      </c>
      <c r="I74" s="176">
        <f>'[2]Combined Overview'!N311</f>
        <v>500</v>
      </c>
      <c r="J74" s="176">
        <f>'[2]Combined Overview'!O311</f>
        <v>0</v>
      </c>
      <c r="K74" s="176">
        <f>'[2]Combined Overview'!P311</f>
        <v>0</v>
      </c>
      <c r="L74" s="176">
        <f>'[2]Combined Overview'!Q311</f>
        <v>0</v>
      </c>
      <c r="M74" s="176">
        <f>'[2]Combined Overview'!R311</f>
        <v>0</v>
      </c>
      <c r="N74" s="176">
        <f>'[2]Combined Overview'!S311</f>
        <v>0</v>
      </c>
      <c r="O74" s="176">
        <f>'[2]Combined Overview'!T311</f>
        <v>500</v>
      </c>
      <c r="P74" s="177">
        <f t="shared" si="3"/>
        <v>1000</v>
      </c>
      <c r="Q74" s="164"/>
      <c r="R74" s="161">
        <v>0</v>
      </c>
      <c r="S74" s="162">
        <v>1000</v>
      </c>
      <c r="T74" s="176">
        <f>'[2]Combined Overview'!Y311</f>
        <v>993.25</v>
      </c>
      <c r="U74" s="176">
        <f>'[2]Combined Overview'!Z311</f>
        <v>800</v>
      </c>
    </row>
    <row r="75" spans="2:22" x14ac:dyDescent="0.25">
      <c r="B75" s="182">
        <v>5106</v>
      </c>
      <c r="C75" s="289" t="s">
        <v>170</v>
      </c>
      <c r="D75" s="176">
        <f>'[2]Combined Overview'!I61</f>
        <v>416.66666666666669</v>
      </c>
      <c r="E75" s="176">
        <f>'[2]Combined Overview'!J61</f>
        <v>416.66666666666669</v>
      </c>
      <c r="F75" s="176">
        <f>'[2]Combined Overview'!K61</f>
        <v>416.66666666666669</v>
      </c>
      <c r="G75" s="176">
        <f>'[2]Combined Overview'!L61</f>
        <v>416.66666666666669</v>
      </c>
      <c r="H75" s="176">
        <f>'[2]Combined Overview'!M61</f>
        <v>416.66666666666669</v>
      </c>
      <c r="I75" s="176">
        <f>'[2]Combined Overview'!N61</f>
        <v>416.66666666666669</v>
      </c>
      <c r="J75" s="176">
        <f>'[2]Combined Overview'!O61</f>
        <v>416.66666666666669</v>
      </c>
      <c r="K75" s="176">
        <f>'[2]Combined Overview'!P61</f>
        <v>416.66666666666669</v>
      </c>
      <c r="L75" s="176">
        <f>'[2]Combined Overview'!Q61</f>
        <v>416.66666666666669</v>
      </c>
      <c r="M75" s="176">
        <f>'[2]Combined Overview'!R61</f>
        <v>416.66666666666669</v>
      </c>
      <c r="N75" s="176">
        <f>'[2]Combined Overview'!S61</f>
        <v>416.66666666666669</v>
      </c>
      <c r="O75" s="176">
        <f>'[2]Combined Overview'!T61</f>
        <v>416.66666666666669</v>
      </c>
      <c r="P75" s="177">
        <f t="shared" si="3"/>
        <v>5000</v>
      </c>
      <c r="Q75" s="178"/>
      <c r="R75" s="161">
        <v>0</v>
      </c>
      <c r="S75" s="162">
        <v>5000</v>
      </c>
      <c r="T75" s="176">
        <f>'[2]Combined Overview'!Y61</f>
        <v>3764.79</v>
      </c>
      <c r="U75" s="176">
        <f>'[2]Combined Overview'!Z61</f>
        <v>5000</v>
      </c>
    </row>
    <row r="76" spans="2:22" x14ac:dyDescent="0.25">
      <c r="B76" s="184" t="s">
        <v>327</v>
      </c>
      <c r="C76" s="181" t="s">
        <v>171</v>
      </c>
      <c r="D76" s="176">
        <f>+'[2]Combined Overview'!I$450+'[2]Combined Overview'!I$416+'[2]Combined Overview'!I$122</f>
        <v>14993.173333333332</v>
      </c>
      <c r="E76" s="176">
        <f>+'[2]Combined Overview'!J$450+'[2]Combined Overview'!J$416+'[2]Combined Overview'!J$122</f>
        <v>14993.173333333332</v>
      </c>
      <c r="F76" s="176">
        <f>+'[2]Combined Overview'!K$450+'[2]Combined Overview'!K$416+'[2]Combined Overview'!K$122</f>
        <v>14993.173333333332</v>
      </c>
      <c r="G76" s="176">
        <f>+'[2]Combined Overview'!L$450+'[2]Combined Overview'!L$416+'[2]Combined Overview'!L$122</f>
        <v>14993.173333333332</v>
      </c>
      <c r="H76" s="176">
        <f>+'[2]Combined Overview'!M$450+'[2]Combined Overview'!M$416+'[2]Combined Overview'!M$122</f>
        <v>14993.173333333332</v>
      </c>
      <c r="I76" s="176">
        <f>+'[2]Combined Overview'!N$450+'[2]Combined Overview'!N$416+'[2]Combined Overview'!N$122</f>
        <v>14993.173333333332</v>
      </c>
      <c r="J76" s="176">
        <f>+'[2]Combined Overview'!O$450+'[2]Combined Overview'!O$416+'[2]Combined Overview'!O$122</f>
        <v>14993.173333333332</v>
      </c>
      <c r="K76" s="176">
        <f>+'[2]Combined Overview'!P$450+'[2]Combined Overview'!P$416+'[2]Combined Overview'!P$122</f>
        <v>14993.173333333332</v>
      </c>
      <c r="L76" s="176">
        <f>+'[2]Combined Overview'!Q$450+'[2]Combined Overview'!Q$416+'[2]Combined Overview'!Q$122</f>
        <v>14993.173333333332</v>
      </c>
      <c r="M76" s="176">
        <f>+'[2]Combined Overview'!R$450+'[2]Combined Overview'!R$416+'[2]Combined Overview'!R$122</f>
        <v>14993.173333333332</v>
      </c>
      <c r="N76" s="176">
        <f>+'[2]Combined Overview'!S$450+'[2]Combined Overview'!S$416+'[2]Combined Overview'!S$122</f>
        <v>14993.173333333332</v>
      </c>
      <c r="O76" s="176">
        <f>+'[2]Combined Overview'!T$450+'[2]Combined Overview'!T$416+'[2]Combined Overview'!T$122</f>
        <v>14993.173333333332</v>
      </c>
      <c r="P76" s="229">
        <f t="shared" si="3"/>
        <v>179919</v>
      </c>
      <c r="Q76" s="233"/>
      <c r="R76" s="231"/>
      <c r="S76" s="231">
        <v>190682</v>
      </c>
      <c r="T76" s="231">
        <f>+'[2]Combined Overview'!Y$450+'[2]Combined Overview'!Y$416+'[2]Combined Overview'!Y$122</f>
        <v>83889.3</v>
      </c>
      <c r="U76" s="231">
        <f>+'[2]Combined Overview'!Z$450+'[2]Combined Overview'!Z$416+'[2]Combined Overview'!Z$122</f>
        <v>157145</v>
      </c>
      <c r="V76" s="234">
        <f>SUM(P76)</f>
        <v>179919</v>
      </c>
    </row>
    <row r="77" spans="2:22" x14ac:dyDescent="0.25">
      <c r="B77" s="180" t="s">
        <v>328</v>
      </c>
      <c r="C77" s="181" t="s">
        <v>329</v>
      </c>
      <c r="D77" s="176">
        <f>+'[2]Combined Overview'!I$183+'[2]Combined Overview'!I$424+'[2]Combined Overview'!I$467</f>
        <v>640.91666666666674</v>
      </c>
      <c r="E77" s="176">
        <f>+'[2]Combined Overview'!J$183+'[2]Combined Overview'!J$424+'[2]Combined Overview'!J$467</f>
        <v>465.91666666666669</v>
      </c>
      <c r="F77" s="176">
        <f>+'[2]Combined Overview'!K$183+'[2]Combined Overview'!K$424+'[2]Combined Overview'!K$467</f>
        <v>465.91666666666669</v>
      </c>
      <c r="G77" s="176">
        <f>+'[2]Combined Overview'!L$183+'[2]Combined Overview'!L$424+'[2]Combined Overview'!L$467</f>
        <v>465.91666666666669</v>
      </c>
      <c r="H77" s="176">
        <f>+'[2]Combined Overview'!M$183+'[2]Combined Overview'!M$424+'[2]Combined Overview'!M$467</f>
        <v>465.91666666666669</v>
      </c>
      <c r="I77" s="176">
        <f>+'[2]Combined Overview'!N$183+'[2]Combined Overview'!N$424+'[2]Combined Overview'!N$467</f>
        <v>589.91666666666674</v>
      </c>
      <c r="J77" s="176">
        <f>+'[2]Combined Overview'!O$183+'[2]Combined Overview'!O$424+'[2]Combined Overview'!O$467</f>
        <v>465.91666666666669</v>
      </c>
      <c r="K77" s="176">
        <f>+'[2]Combined Overview'!P$183+'[2]Combined Overview'!P$424+'[2]Combined Overview'!P$467</f>
        <v>465.91666666666669</v>
      </c>
      <c r="L77" s="176">
        <f>+'[2]Combined Overview'!Q$183+'[2]Combined Overview'!Q$424+'[2]Combined Overview'!Q$467</f>
        <v>465.91666666666669</v>
      </c>
      <c r="M77" s="176">
        <f>+'[2]Combined Overview'!R$183+'[2]Combined Overview'!R$424+'[2]Combined Overview'!R$467</f>
        <v>465.91666666666669</v>
      </c>
      <c r="N77" s="176">
        <f>+'[2]Combined Overview'!S$183+'[2]Combined Overview'!S$424+'[2]Combined Overview'!S$467</f>
        <v>-34.083333333333314</v>
      </c>
      <c r="O77" s="176">
        <f>+'[2]Combined Overview'!T$183+'[2]Combined Overview'!T$424+'[2]Combined Overview'!T$467</f>
        <v>475.91666666666669</v>
      </c>
      <c r="P77" s="177">
        <f t="shared" si="3"/>
        <v>5400</v>
      </c>
      <c r="Q77" s="164"/>
      <c r="R77" s="161"/>
      <c r="S77" s="162">
        <v>2990</v>
      </c>
      <c r="T77" s="176">
        <f>+'[2]Combined Overview'!Y$183+'[2]Combined Overview'!Y$424+'[2]Combined Overview'!Y$467</f>
        <v>3924.3999999999996</v>
      </c>
      <c r="U77" s="176">
        <f>+'[2]Combined Overview'!Z$183+'[2]Combined Overview'!Z$424+'[2]Combined Overview'!Z$467</f>
        <v>5732.0599999999995</v>
      </c>
    </row>
    <row r="78" spans="2:22" x14ac:dyDescent="0.25">
      <c r="B78" s="182">
        <v>5110</v>
      </c>
      <c r="C78" s="289" t="s">
        <v>173</v>
      </c>
      <c r="D78" s="176">
        <f>'[2]Combined Overview'!I62</f>
        <v>0</v>
      </c>
      <c r="E78" s="176">
        <f>'[2]Combined Overview'!J62</f>
        <v>0</v>
      </c>
      <c r="F78" s="176">
        <f>'[2]Combined Overview'!K62</f>
        <v>0</v>
      </c>
      <c r="G78" s="176">
        <f>'[2]Combined Overview'!L62</f>
        <v>0</v>
      </c>
      <c r="H78" s="176">
        <f>'[2]Combined Overview'!M62</f>
        <v>0</v>
      </c>
      <c r="I78" s="176">
        <f>'[2]Combined Overview'!N62</f>
        <v>0</v>
      </c>
      <c r="J78" s="176">
        <f>'[2]Combined Overview'!O62</f>
        <v>0</v>
      </c>
      <c r="K78" s="176">
        <f>'[2]Combined Overview'!P62</f>
        <v>0</v>
      </c>
      <c r="L78" s="176">
        <f>'[2]Combined Overview'!Q62</f>
        <v>0</v>
      </c>
      <c r="M78" s="176">
        <f>'[2]Combined Overview'!R62</f>
        <v>0</v>
      </c>
      <c r="N78" s="176">
        <f>'[2]Combined Overview'!S62</f>
        <v>0</v>
      </c>
      <c r="O78" s="176">
        <f>'[2]Combined Overview'!T62</f>
        <v>0</v>
      </c>
      <c r="P78" s="177">
        <f t="shared" si="3"/>
        <v>0</v>
      </c>
      <c r="Q78" s="178"/>
      <c r="R78" s="161">
        <v>0</v>
      </c>
      <c r="S78" s="162">
        <v>0</v>
      </c>
      <c r="T78" s="176">
        <f>'[2]Combined Overview'!Y62</f>
        <v>625.83000000000004</v>
      </c>
      <c r="U78" s="176">
        <f>'[2]Combined Overview'!Z62</f>
        <v>1500</v>
      </c>
    </row>
    <row r="79" spans="2:22" x14ac:dyDescent="0.25">
      <c r="B79" s="184" t="s">
        <v>330</v>
      </c>
      <c r="C79" s="284" t="s">
        <v>174</v>
      </c>
      <c r="D79" s="176">
        <f>+'[2]Combined Overview'!I$471+'[2]Combined Overview'!I$426+'[2]Combined Overview'!I$198</f>
        <v>240</v>
      </c>
      <c r="E79" s="176">
        <f>+'[2]Combined Overview'!J$471+'[2]Combined Overview'!J$426+'[2]Combined Overview'!J$198</f>
        <v>135</v>
      </c>
      <c r="F79" s="176">
        <f>+'[2]Combined Overview'!K$471+'[2]Combined Overview'!K$426+'[2]Combined Overview'!K$198</f>
        <v>223.33333333333334</v>
      </c>
      <c r="G79" s="176">
        <f>+'[2]Combined Overview'!L$471+'[2]Combined Overview'!L$426+'[2]Combined Overview'!L$198</f>
        <v>185</v>
      </c>
      <c r="H79" s="176">
        <f>+'[2]Combined Overview'!M$471+'[2]Combined Overview'!M$426+'[2]Combined Overview'!M$198</f>
        <v>1375</v>
      </c>
      <c r="I79" s="176">
        <f>+'[2]Combined Overview'!N$471+'[2]Combined Overview'!N$426+'[2]Combined Overview'!N$198</f>
        <v>135</v>
      </c>
      <c r="J79" s="176">
        <f>+'[2]Combined Overview'!O$471+'[2]Combined Overview'!O$426+'[2]Combined Overview'!O$198</f>
        <v>838.33333333333337</v>
      </c>
      <c r="K79" s="176">
        <f>+'[2]Combined Overview'!P$471+'[2]Combined Overview'!P$426+'[2]Combined Overview'!P$198</f>
        <v>135</v>
      </c>
      <c r="L79" s="176">
        <f>+'[2]Combined Overview'!Q$471+'[2]Combined Overview'!Q$426+'[2]Combined Overview'!Q$198</f>
        <v>190</v>
      </c>
      <c r="M79" s="176">
        <f>+'[2]Combined Overview'!R$471+'[2]Combined Overview'!R$426+'[2]Combined Overview'!R$198</f>
        <v>185</v>
      </c>
      <c r="N79" s="176">
        <f>+'[2]Combined Overview'!S$471+'[2]Combined Overview'!S$426+'[2]Combined Overview'!S$198</f>
        <v>223.33333333333334</v>
      </c>
      <c r="O79" s="176">
        <f>+'[2]Combined Overview'!T$471+'[2]Combined Overview'!T$426+'[2]Combined Overview'!T$198</f>
        <v>135</v>
      </c>
      <c r="P79" s="177">
        <f t="shared" si="3"/>
        <v>4000</v>
      </c>
      <c r="Q79" s="164"/>
      <c r="R79" s="161">
        <v>0</v>
      </c>
      <c r="S79" s="162">
        <v>3775</v>
      </c>
      <c r="T79" s="176">
        <f>+'[2]Combined Overview'!Y$471+'[2]Combined Overview'!Y$426+'[2]Combined Overview'!Y$198</f>
        <v>3927.8700000000003</v>
      </c>
      <c r="U79" s="176">
        <f>+'[2]Combined Overview'!Z$471+'[2]Combined Overview'!Z$426+'[2]Combined Overview'!Z$198</f>
        <v>4330</v>
      </c>
    </row>
    <row r="80" spans="2:22" x14ac:dyDescent="0.25">
      <c r="B80" s="180" t="s">
        <v>331</v>
      </c>
      <c r="C80" s="181" t="s">
        <v>175</v>
      </c>
      <c r="D80" s="176">
        <f>+'[2]Combined Overview'!I$330+'[2]Combined Overview'!I$437+'[2]Combined Overview'!I$485</f>
        <v>1465</v>
      </c>
      <c r="E80" s="176">
        <f>+'[2]Combined Overview'!J$330+'[2]Combined Overview'!J$437+'[2]Combined Overview'!J$485</f>
        <v>75</v>
      </c>
      <c r="F80" s="176">
        <f>+'[2]Combined Overview'!K$330+'[2]Combined Overview'!K$437+'[2]Combined Overview'!K$485</f>
        <v>3925</v>
      </c>
      <c r="G80" s="176">
        <f>+'[2]Combined Overview'!L$330+'[2]Combined Overview'!L$437+'[2]Combined Overview'!L$485</f>
        <v>655</v>
      </c>
      <c r="H80" s="176">
        <f>+'[2]Combined Overview'!M$330+'[2]Combined Overview'!M$437+'[2]Combined Overview'!M$485</f>
        <v>1875</v>
      </c>
      <c r="I80" s="176">
        <f>+'[2]Combined Overview'!N$330+'[2]Combined Overview'!N$437+'[2]Combined Overview'!N$485</f>
        <v>4175</v>
      </c>
      <c r="J80" s="176">
        <f>+'[2]Combined Overview'!O$330+'[2]Combined Overview'!O$437+'[2]Combined Overview'!O$485</f>
        <v>2555</v>
      </c>
      <c r="K80" s="176">
        <f>+'[2]Combined Overview'!P$330+'[2]Combined Overview'!P$437+'[2]Combined Overview'!P$485</f>
        <v>175</v>
      </c>
      <c r="L80" s="176">
        <f>+'[2]Combined Overview'!Q$330+'[2]Combined Overview'!Q$437+'[2]Combined Overview'!Q$485</f>
        <v>3925</v>
      </c>
      <c r="M80" s="176">
        <f>+'[2]Combined Overview'!R$330+'[2]Combined Overview'!R$437+'[2]Combined Overview'!R$485</f>
        <v>655</v>
      </c>
      <c r="N80" s="176">
        <f>+'[2]Combined Overview'!S$330+'[2]Combined Overview'!S$437+'[2]Combined Overview'!S$485</f>
        <v>175</v>
      </c>
      <c r="O80" s="176">
        <f>+'[2]Combined Overview'!T$330+'[2]Combined Overview'!T$437+'[2]Combined Overview'!T$485</f>
        <v>4225</v>
      </c>
      <c r="P80" s="177">
        <f t="shared" si="3"/>
        <v>23880</v>
      </c>
      <c r="Q80" s="164"/>
      <c r="R80" s="161"/>
      <c r="S80" s="162">
        <v>23880</v>
      </c>
      <c r="T80" s="176">
        <f>+'[2]Combined Overview'!Y$330+'[2]Combined Overview'!Y$437+'[2]Combined Overview'!Y$485</f>
        <v>10318.57</v>
      </c>
      <c r="U80" s="176">
        <f>+'[2]Combined Overview'!Z$330+'[2]Combined Overview'!Z$437+'[2]Combined Overview'!Z$485</f>
        <v>35000</v>
      </c>
    </row>
    <row r="81" spans="2:22" x14ac:dyDescent="0.25">
      <c r="B81" s="182">
        <v>5209</v>
      </c>
      <c r="C81" s="163" t="s">
        <v>176</v>
      </c>
      <c r="D81" s="176">
        <f>'[2]Combined Overview'!I90</f>
        <v>0</v>
      </c>
      <c r="E81" s="176">
        <f>'[2]Combined Overview'!J90</f>
        <v>800</v>
      </c>
      <c r="F81" s="176">
        <f>'[2]Combined Overview'!K90</f>
        <v>165</v>
      </c>
      <c r="G81" s="176">
        <f>'[2]Combined Overview'!L90</f>
        <v>0</v>
      </c>
      <c r="H81" s="176">
        <f>'[2]Combined Overview'!M90</f>
        <v>45</v>
      </c>
      <c r="I81" s="176">
        <f>'[2]Combined Overview'!N90</f>
        <v>0</v>
      </c>
      <c r="J81" s="176">
        <f>'[2]Combined Overview'!O90</f>
        <v>0</v>
      </c>
      <c r="K81" s="176">
        <f>'[2]Combined Overview'!P90</f>
        <v>0</v>
      </c>
      <c r="L81" s="176">
        <f>'[2]Combined Overview'!Q90</f>
        <v>0</v>
      </c>
      <c r="M81" s="176">
        <f>'[2]Combined Overview'!R90</f>
        <v>0</v>
      </c>
      <c r="N81" s="176">
        <f>'[2]Combined Overview'!S90</f>
        <v>0</v>
      </c>
      <c r="O81" s="176">
        <f>'[2]Combined Overview'!T90</f>
        <v>0</v>
      </c>
      <c r="P81" s="177">
        <f t="shared" si="3"/>
        <v>1010</v>
      </c>
      <c r="Q81" s="178"/>
      <c r="R81" s="161"/>
      <c r="S81" s="162">
        <v>1010</v>
      </c>
      <c r="T81" s="176">
        <f>'[2]Combined Overview'!Y90</f>
        <v>71.75</v>
      </c>
      <c r="U81" s="176">
        <f>'[2]Combined Overview'!Z90</f>
        <v>345</v>
      </c>
    </row>
    <row r="82" spans="2:22" x14ac:dyDescent="0.25">
      <c r="B82" s="175">
        <v>8440</v>
      </c>
      <c r="C82" s="163" t="s">
        <v>177</v>
      </c>
      <c r="D82" s="176">
        <f>'[2]Combined Overview'!I496</f>
        <v>5899</v>
      </c>
      <c r="E82" s="176">
        <f>'[2]Combined Overview'!J496</f>
        <v>594</v>
      </c>
      <c r="F82" s="176">
        <f>'[2]Combined Overview'!K496</f>
        <v>2099</v>
      </c>
      <c r="G82" s="176">
        <f>'[2]Combined Overview'!L496</f>
        <v>99</v>
      </c>
      <c r="H82" s="176">
        <f>'[2]Combined Overview'!M496</f>
        <v>599</v>
      </c>
      <c r="I82" s="176">
        <f>'[2]Combined Overview'!N496</f>
        <v>599</v>
      </c>
      <c r="J82" s="176">
        <f>'[2]Combined Overview'!O496</f>
        <v>2099</v>
      </c>
      <c r="K82" s="176">
        <f>'[2]Combined Overview'!P496</f>
        <v>2599</v>
      </c>
      <c r="L82" s="176">
        <f>'[2]Combined Overview'!Q496</f>
        <v>749</v>
      </c>
      <c r="M82" s="176">
        <f>'[2]Combined Overview'!R496</f>
        <v>599</v>
      </c>
      <c r="N82" s="176">
        <f>'[2]Combined Overview'!S496</f>
        <v>1299</v>
      </c>
      <c r="O82" s="176">
        <f>'[2]Combined Overview'!T496</f>
        <v>849</v>
      </c>
      <c r="P82" s="177">
        <f t="shared" si="3"/>
        <v>18083</v>
      </c>
      <c r="Q82" s="164"/>
      <c r="R82" s="161"/>
      <c r="S82" s="162">
        <v>18083</v>
      </c>
      <c r="T82" s="176">
        <f>'[2]Combined Overview'!Y496</f>
        <v>1593.21</v>
      </c>
      <c r="U82" s="176">
        <f>'[2]Combined Overview'!Z496</f>
        <v>9028</v>
      </c>
    </row>
    <row r="83" spans="2:22" x14ac:dyDescent="0.25">
      <c r="B83" s="182">
        <v>5202</v>
      </c>
      <c r="C83" s="284" t="s">
        <v>178</v>
      </c>
      <c r="D83" s="176">
        <f>'[2]Combined Overview'!I74</f>
        <v>0</v>
      </c>
      <c r="E83" s="176">
        <f>'[2]Combined Overview'!J74</f>
        <v>0</v>
      </c>
      <c r="F83" s="176">
        <f>'[2]Combined Overview'!K74</f>
        <v>0</v>
      </c>
      <c r="G83" s="176">
        <f>'[2]Combined Overview'!L74</f>
        <v>0</v>
      </c>
      <c r="H83" s="176">
        <f>'[2]Combined Overview'!M74</f>
        <v>0</v>
      </c>
      <c r="I83" s="176">
        <f>'[2]Combined Overview'!N74</f>
        <v>0</v>
      </c>
      <c r="J83" s="176">
        <f>'[2]Combined Overview'!O74</f>
        <v>0</v>
      </c>
      <c r="K83" s="176">
        <f>'[2]Combined Overview'!P74</f>
        <v>0</v>
      </c>
      <c r="L83" s="176">
        <f>'[2]Combined Overview'!Q74</f>
        <v>0</v>
      </c>
      <c r="M83" s="176">
        <f>'[2]Combined Overview'!R74</f>
        <v>75</v>
      </c>
      <c r="N83" s="176">
        <f>'[2]Combined Overview'!S74</f>
        <v>0</v>
      </c>
      <c r="O83" s="176">
        <f>'[2]Combined Overview'!T74</f>
        <v>0</v>
      </c>
      <c r="P83" s="177">
        <f t="shared" si="3"/>
        <v>75</v>
      </c>
      <c r="Q83" s="178"/>
      <c r="R83" s="161"/>
      <c r="S83" s="162">
        <v>75</v>
      </c>
      <c r="T83" s="176">
        <f>'[2]Combined Overview'!Y74</f>
        <v>0</v>
      </c>
      <c r="U83" s="176">
        <f>'[2]Combined Overview'!Z74</f>
        <v>75</v>
      </c>
    </row>
    <row r="84" spans="2:22" x14ac:dyDescent="0.25">
      <c r="B84" s="182">
        <v>5291</v>
      </c>
      <c r="C84" s="284" t="s">
        <v>179</v>
      </c>
      <c r="D84" s="176">
        <f>'[2]Combined Overview'!I134</f>
        <v>0</v>
      </c>
      <c r="E84" s="176">
        <f>'[2]Combined Overview'!J134</f>
        <v>0</v>
      </c>
      <c r="F84" s="176">
        <f>'[2]Combined Overview'!K134</f>
        <v>0</v>
      </c>
      <c r="G84" s="176">
        <f>'[2]Combined Overview'!L134</f>
        <v>0</v>
      </c>
      <c r="H84" s="176">
        <f>'[2]Combined Overview'!M134</f>
        <v>0</v>
      </c>
      <c r="I84" s="176">
        <f>'[2]Combined Overview'!N134</f>
        <v>150</v>
      </c>
      <c r="J84" s="176">
        <f>'[2]Combined Overview'!O134</f>
        <v>0</v>
      </c>
      <c r="K84" s="176">
        <f>'[2]Combined Overview'!P134</f>
        <v>0</v>
      </c>
      <c r="L84" s="176">
        <f>'[2]Combined Overview'!Q134</f>
        <v>0</v>
      </c>
      <c r="M84" s="176">
        <f>'[2]Combined Overview'!R134</f>
        <v>0</v>
      </c>
      <c r="N84" s="176">
        <f>'[2]Combined Overview'!S134</f>
        <v>0</v>
      </c>
      <c r="O84" s="176">
        <f>'[2]Combined Overview'!T134</f>
        <v>0</v>
      </c>
      <c r="P84" s="177">
        <f t="shared" si="3"/>
        <v>150</v>
      </c>
      <c r="Q84" s="178"/>
      <c r="R84" s="161"/>
      <c r="S84" s="162">
        <v>150</v>
      </c>
      <c r="T84" s="176">
        <f>'[2]Combined Overview'!Y134</f>
        <v>210</v>
      </c>
      <c r="U84" s="176">
        <f>'[2]Combined Overview'!Z134</f>
        <v>150</v>
      </c>
    </row>
    <row r="85" spans="2:22" x14ac:dyDescent="0.25">
      <c r="B85" s="175">
        <v>5367</v>
      </c>
      <c r="C85" s="284" t="s">
        <v>182</v>
      </c>
      <c r="D85" s="176">
        <f>'[2]Combined Overview'!I245</f>
        <v>176</v>
      </c>
      <c r="E85" s="176">
        <f>'[2]Combined Overview'!J245</f>
        <v>2926</v>
      </c>
      <c r="F85" s="176">
        <f>'[2]Combined Overview'!K245</f>
        <v>176</v>
      </c>
      <c r="G85" s="176">
        <f>'[2]Combined Overview'!L245</f>
        <v>176</v>
      </c>
      <c r="H85" s="176">
        <f>'[2]Combined Overview'!M245</f>
        <v>2926</v>
      </c>
      <c r="I85" s="176">
        <f>'[2]Combined Overview'!N245</f>
        <v>176</v>
      </c>
      <c r="J85" s="176">
        <f>'[2]Combined Overview'!O245</f>
        <v>176</v>
      </c>
      <c r="K85" s="176">
        <f>'[2]Combined Overview'!P245</f>
        <v>2926</v>
      </c>
      <c r="L85" s="176">
        <f>'[2]Combined Overview'!Q245</f>
        <v>176</v>
      </c>
      <c r="M85" s="176">
        <f>'[2]Combined Overview'!R245</f>
        <v>176</v>
      </c>
      <c r="N85" s="176">
        <f>'[2]Combined Overview'!S245</f>
        <v>2926</v>
      </c>
      <c r="O85" s="176">
        <f>'[2]Combined Overview'!T245</f>
        <v>176</v>
      </c>
      <c r="P85" s="177">
        <f t="shared" si="3"/>
        <v>13112</v>
      </c>
      <c r="Q85" s="178"/>
      <c r="R85" s="161"/>
      <c r="S85" s="162">
        <v>13112</v>
      </c>
      <c r="T85" s="176">
        <f>'[2]Combined Overview'!Y245</f>
        <v>11878.62</v>
      </c>
      <c r="U85" s="176">
        <f>'[2]Combined Overview'!Z245</f>
        <v>12750</v>
      </c>
    </row>
    <row r="86" spans="2:22" x14ac:dyDescent="0.25">
      <c r="B86" s="180" t="s">
        <v>332</v>
      </c>
      <c r="C86" s="284" t="s">
        <v>185</v>
      </c>
      <c r="D86" s="176">
        <f>+'[2]Combined Overview'!I$474+'[2]Combined Overview'!I$427+'[2]Combined Overview'!I$207</f>
        <v>500</v>
      </c>
      <c r="E86" s="176">
        <f>+'[2]Combined Overview'!J$474+'[2]Combined Overview'!J$427+'[2]Combined Overview'!J$207</f>
        <v>500</v>
      </c>
      <c r="F86" s="176">
        <f>+'[2]Combined Overview'!K$474+'[2]Combined Overview'!K$427+'[2]Combined Overview'!K$207</f>
        <v>500</v>
      </c>
      <c r="G86" s="176">
        <f>+'[2]Combined Overview'!L$474+'[2]Combined Overview'!L$427+'[2]Combined Overview'!L$207</f>
        <v>500</v>
      </c>
      <c r="H86" s="176">
        <f>+'[2]Combined Overview'!M$474+'[2]Combined Overview'!M$427+'[2]Combined Overview'!M$207</f>
        <v>500</v>
      </c>
      <c r="I86" s="176">
        <f>+'[2]Combined Overview'!N$474+'[2]Combined Overview'!N$427+'[2]Combined Overview'!N$207</f>
        <v>500</v>
      </c>
      <c r="J86" s="176">
        <f>+'[2]Combined Overview'!O$474+'[2]Combined Overview'!O$427+'[2]Combined Overview'!O$207</f>
        <v>500</v>
      </c>
      <c r="K86" s="176">
        <f>+'[2]Combined Overview'!P$474+'[2]Combined Overview'!P$427+'[2]Combined Overview'!P$207</f>
        <v>500</v>
      </c>
      <c r="L86" s="176">
        <f>+'[2]Combined Overview'!Q$474+'[2]Combined Overview'!Q$427+'[2]Combined Overview'!Q$207</f>
        <v>500</v>
      </c>
      <c r="M86" s="176">
        <f>+'[2]Combined Overview'!R$474+'[2]Combined Overview'!R$427+'[2]Combined Overview'!R$207</f>
        <v>500</v>
      </c>
      <c r="N86" s="176">
        <f>+'[2]Combined Overview'!S$474+'[2]Combined Overview'!S$427+'[2]Combined Overview'!S$207</f>
        <v>500</v>
      </c>
      <c r="O86" s="176">
        <f>+'[2]Combined Overview'!T$474+'[2]Combined Overview'!T$427+'[2]Combined Overview'!T$207</f>
        <v>500</v>
      </c>
      <c r="P86" s="177">
        <f t="shared" si="3"/>
        <v>6000</v>
      </c>
      <c r="Q86" s="164"/>
      <c r="R86" s="161">
        <v>0</v>
      </c>
      <c r="S86" s="162">
        <v>5000</v>
      </c>
      <c r="T86" s="176">
        <f>+'[2]Combined Overview'!Y$474+'[2]Combined Overview'!Y$427+'[2]Combined Overview'!Y$207</f>
        <v>5073.32</v>
      </c>
      <c r="U86" s="176">
        <f>+'[2]Combined Overview'!Z$474+'[2]Combined Overview'!Z$427+'[2]Combined Overview'!Z$207</f>
        <v>8000</v>
      </c>
    </row>
    <row r="87" spans="2:22" x14ac:dyDescent="0.25">
      <c r="B87" s="182">
        <v>5114</v>
      </c>
      <c r="C87" s="284" t="s">
        <v>186</v>
      </c>
      <c r="D87" s="176">
        <f>'[2]Combined Overview'!I63</f>
        <v>100</v>
      </c>
      <c r="E87" s="176">
        <f>'[2]Combined Overview'!J63</f>
        <v>100</v>
      </c>
      <c r="F87" s="176">
        <f>'[2]Combined Overview'!K63</f>
        <v>100</v>
      </c>
      <c r="G87" s="176">
        <f>'[2]Combined Overview'!L63</f>
        <v>100</v>
      </c>
      <c r="H87" s="176">
        <f>'[2]Combined Overview'!M63</f>
        <v>100</v>
      </c>
      <c r="I87" s="176">
        <f>'[2]Combined Overview'!N63</f>
        <v>100</v>
      </c>
      <c r="J87" s="176">
        <f>'[2]Combined Overview'!O63</f>
        <v>100</v>
      </c>
      <c r="K87" s="176">
        <f>'[2]Combined Overview'!P63</f>
        <v>100</v>
      </c>
      <c r="L87" s="176">
        <f>'[2]Combined Overview'!Q63</f>
        <v>100</v>
      </c>
      <c r="M87" s="176">
        <f>'[2]Combined Overview'!R63</f>
        <v>100</v>
      </c>
      <c r="N87" s="176">
        <f>'[2]Combined Overview'!S63</f>
        <v>100</v>
      </c>
      <c r="O87" s="176">
        <f>'[2]Combined Overview'!T63</f>
        <v>100</v>
      </c>
      <c r="P87" s="177">
        <f t="shared" si="3"/>
        <v>1200</v>
      </c>
      <c r="Q87" s="178"/>
      <c r="R87" s="161"/>
      <c r="S87" s="162">
        <v>1200</v>
      </c>
      <c r="T87" s="176">
        <f>'[2]Combined Overview'!Y63</f>
        <v>900</v>
      </c>
      <c r="U87" s="176">
        <f>'[2]Combined Overview'!Z63</f>
        <v>1200</v>
      </c>
    </row>
    <row r="88" spans="2:22" x14ac:dyDescent="0.25">
      <c r="B88" s="184" t="s">
        <v>333</v>
      </c>
      <c r="C88" s="284" t="s">
        <v>334</v>
      </c>
      <c r="D88" s="176">
        <f>+'[2]Combined Overview'!I$190+'[2]Combined Overview'!I$425+'[2]Combined Overview'!I$468</f>
        <v>2006</v>
      </c>
      <c r="E88" s="176">
        <f>+'[2]Combined Overview'!J$190+'[2]Combined Overview'!J$425+'[2]Combined Overview'!J$468</f>
        <v>2006</v>
      </c>
      <c r="F88" s="176">
        <f>+'[2]Combined Overview'!K$190+'[2]Combined Overview'!K$425+'[2]Combined Overview'!K$468</f>
        <v>2006</v>
      </c>
      <c r="G88" s="176">
        <f>+'[2]Combined Overview'!L$190+'[2]Combined Overview'!L$425+'[2]Combined Overview'!L$468</f>
        <v>2006</v>
      </c>
      <c r="H88" s="176">
        <f>+'[2]Combined Overview'!M$190+'[2]Combined Overview'!M$425+'[2]Combined Overview'!M$468</f>
        <v>2006</v>
      </c>
      <c r="I88" s="176">
        <f>+'[2]Combined Overview'!N$190+'[2]Combined Overview'!N$425+'[2]Combined Overview'!N$468</f>
        <v>2006</v>
      </c>
      <c r="J88" s="176">
        <f>+'[2]Combined Overview'!O$190+'[2]Combined Overview'!O$425+'[2]Combined Overview'!O$468</f>
        <v>2006</v>
      </c>
      <c r="K88" s="176">
        <f>+'[2]Combined Overview'!P$190+'[2]Combined Overview'!P$425+'[2]Combined Overview'!P$468</f>
        <v>2006</v>
      </c>
      <c r="L88" s="176">
        <f>+'[2]Combined Overview'!Q$190+'[2]Combined Overview'!Q$425+'[2]Combined Overview'!Q$468</f>
        <v>2006</v>
      </c>
      <c r="M88" s="176">
        <f>+'[2]Combined Overview'!R$190+'[2]Combined Overview'!R$425+'[2]Combined Overview'!R$468</f>
        <v>2006</v>
      </c>
      <c r="N88" s="176">
        <f>+'[2]Combined Overview'!S$190+'[2]Combined Overview'!S$425+'[2]Combined Overview'!S$468</f>
        <v>1006</v>
      </c>
      <c r="O88" s="176">
        <f>+'[2]Combined Overview'!T$190+'[2]Combined Overview'!T$425+'[2]Combined Overview'!T$468</f>
        <v>2006</v>
      </c>
      <c r="P88" s="177">
        <f t="shared" si="3"/>
        <v>23072</v>
      </c>
      <c r="Q88" s="164"/>
      <c r="R88" s="161"/>
      <c r="S88" s="162">
        <v>26052</v>
      </c>
      <c r="T88" s="176">
        <f>+'[2]Combined Overview'!Y$190+'[2]Combined Overview'!Y$425+'[2]Combined Overview'!Y$468</f>
        <v>17412.100000000002</v>
      </c>
      <c r="U88" s="176">
        <f>+'[2]Combined Overview'!Z$190+'[2]Combined Overview'!Z$425+'[2]Combined Overview'!Z$468</f>
        <v>23296</v>
      </c>
    </row>
    <row r="89" spans="2:22" x14ac:dyDescent="0.25">
      <c r="B89" s="175">
        <v>8285</v>
      </c>
      <c r="C89" s="163" t="s">
        <v>190</v>
      </c>
      <c r="D89" s="176">
        <f>'[2]Combined Overview'!I451</f>
        <v>700</v>
      </c>
      <c r="E89" s="176">
        <f>'[2]Combined Overview'!J451</f>
        <v>700</v>
      </c>
      <c r="F89" s="176">
        <f>'[2]Combined Overview'!K451</f>
        <v>700</v>
      </c>
      <c r="G89" s="176">
        <f>'[2]Combined Overview'!L451</f>
        <v>700</v>
      </c>
      <c r="H89" s="176">
        <f>'[2]Combined Overview'!M451</f>
        <v>700</v>
      </c>
      <c r="I89" s="176">
        <f>'[2]Combined Overview'!N451</f>
        <v>700</v>
      </c>
      <c r="J89" s="176">
        <f>'[2]Combined Overview'!O451</f>
        <v>700</v>
      </c>
      <c r="K89" s="176">
        <f>'[2]Combined Overview'!P451</f>
        <v>700</v>
      </c>
      <c r="L89" s="176">
        <f>'[2]Combined Overview'!Q451</f>
        <v>700</v>
      </c>
      <c r="M89" s="176">
        <f>'[2]Combined Overview'!R451</f>
        <v>700</v>
      </c>
      <c r="N89" s="176">
        <f>'[2]Combined Overview'!S451</f>
        <v>700</v>
      </c>
      <c r="O89" s="176">
        <f>'[2]Combined Overview'!T451</f>
        <v>700</v>
      </c>
      <c r="P89" s="229">
        <f t="shared" si="3"/>
        <v>8400</v>
      </c>
      <c r="Q89" s="233"/>
      <c r="R89" s="231"/>
      <c r="S89" s="231">
        <v>8400</v>
      </c>
      <c r="T89" s="231">
        <f>'[2]Combined Overview'!Y451</f>
        <v>4917.5</v>
      </c>
      <c r="U89" s="231">
        <f>'[2]Combined Overview'!Z451</f>
        <v>11520</v>
      </c>
      <c r="V89" s="234">
        <f>+P89</f>
        <v>8400</v>
      </c>
    </row>
    <row r="90" spans="2:22" x14ac:dyDescent="0.25">
      <c r="B90" s="175">
        <v>5363</v>
      </c>
      <c r="C90" s="284" t="s">
        <v>192</v>
      </c>
      <c r="D90" s="176">
        <f>'[2]Combined Overview'!I231</f>
        <v>1500</v>
      </c>
      <c r="E90" s="176">
        <f>'[2]Combined Overview'!J231</f>
        <v>1500</v>
      </c>
      <c r="F90" s="176">
        <f>'[2]Combined Overview'!K231</f>
        <v>1500</v>
      </c>
      <c r="G90" s="176">
        <f>'[2]Combined Overview'!L231</f>
        <v>1500</v>
      </c>
      <c r="H90" s="176">
        <f>'[2]Combined Overview'!M231</f>
        <v>1300</v>
      </c>
      <c r="I90" s="176">
        <f>'[2]Combined Overview'!N231</f>
        <v>1300</v>
      </c>
      <c r="J90" s="176">
        <f>'[2]Combined Overview'!O231</f>
        <v>1500</v>
      </c>
      <c r="K90" s="176">
        <f>'[2]Combined Overview'!P231</f>
        <v>1500</v>
      </c>
      <c r="L90" s="176">
        <f>'[2]Combined Overview'!Q231</f>
        <v>1500</v>
      </c>
      <c r="M90" s="176">
        <f>'[2]Combined Overview'!R231</f>
        <v>1500</v>
      </c>
      <c r="N90" s="176">
        <f>'[2]Combined Overview'!S231</f>
        <v>1500</v>
      </c>
      <c r="O90" s="176">
        <f>'[2]Combined Overview'!T231</f>
        <v>1500</v>
      </c>
      <c r="P90" s="177">
        <f t="shared" si="3"/>
        <v>17600</v>
      </c>
      <c r="Q90" s="178"/>
      <c r="R90" s="161"/>
      <c r="S90" s="162">
        <v>17600</v>
      </c>
      <c r="T90" s="176">
        <f>'[2]Combined Overview'!Y231</f>
        <v>13182</v>
      </c>
      <c r="U90" s="176">
        <f>'[2]Combined Overview'!Z231</f>
        <v>15000</v>
      </c>
    </row>
    <row r="91" spans="2:22" x14ac:dyDescent="0.25">
      <c r="B91" s="175">
        <v>5356</v>
      </c>
      <c r="C91" s="284" t="s">
        <v>193</v>
      </c>
      <c r="D91" s="176">
        <f>'[2]Combined Overview'!I215</f>
        <v>200</v>
      </c>
      <c r="E91" s="176">
        <f>'[2]Combined Overview'!J215</f>
        <v>0</v>
      </c>
      <c r="F91" s="176">
        <f>'[2]Combined Overview'!K215</f>
        <v>0</v>
      </c>
      <c r="G91" s="176">
        <f>'[2]Combined Overview'!L215</f>
        <v>0</v>
      </c>
      <c r="H91" s="176">
        <f>'[2]Combined Overview'!M215</f>
        <v>0</v>
      </c>
      <c r="I91" s="176">
        <f>'[2]Combined Overview'!N215</f>
        <v>0</v>
      </c>
      <c r="J91" s="176">
        <f>'[2]Combined Overview'!O215</f>
        <v>0</v>
      </c>
      <c r="K91" s="176">
        <f>'[2]Combined Overview'!P215</f>
        <v>0</v>
      </c>
      <c r="L91" s="176">
        <f>'[2]Combined Overview'!Q215</f>
        <v>0</v>
      </c>
      <c r="M91" s="176">
        <f>'[2]Combined Overview'!R215</f>
        <v>0</v>
      </c>
      <c r="N91" s="176">
        <f>'[2]Combined Overview'!S215</f>
        <v>0</v>
      </c>
      <c r="O91" s="176">
        <f>'[2]Combined Overview'!T215</f>
        <v>0</v>
      </c>
      <c r="P91" s="177">
        <f t="shared" si="3"/>
        <v>200</v>
      </c>
      <c r="Q91" s="178"/>
      <c r="R91" s="161"/>
      <c r="S91" s="162">
        <v>200</v>
      </c>
      <c r="T91" s="176">
        <f>'[2]Combined Overview'!Y215</f>
        <v>112.92</v>
      </c>
      <c r="U91" s="176">
        <f>'[2]Combined Overview'!Z215</f>
        <v>1750</v>
      </c>
    </row>
    <row r="92" spans="2:22" x14ac:dyDescent="0.25">
      <c r="B92" s="180" t="s">
        <v>335</v>
      </c>
      <c r="C92" s="284" t="s">
        <v>194</v>
      </c>
      <c r="D92" s="176">
        <f>+'[2]Combined Overview'!I$477+'[2]Combined Overview'!I$431+'[2]Combined Overview'!I$237</f>
        <v>2370</v>
      </c>
      <c r="E92" s="176">
        <f>+'[2]Combined Overview'!J$477+'[2]Combined Overview'!J$431+'[2]Combined Overview'!J$237</f>
        <v>2370</v>
      </c>
      <c r="F92" s="176">
        <f>+'[2]Combined Overview'!K$477+'[2]Combined Overview'!K$431+'[2]Combined Overview'!K$237</f>
        <v>2370</v>
      </c>
      <c r="G92" s="176">
        <f>+'[2]Combined Overview'!L$477+'[2]Combined Overview'!L$431+'[2]Combined Overview'!L$237</f>
        <v>2370</v>
      </c>
      <c r="H92" s="176">
        <f>+'[2]Combined Overview'!M$477+'[2]Combined Overview'!M$431+'[2]Combined Overview'!M$237</f>
        <v>2370</v>
      </c>
      <c r="I92" s="176">
        <f>+'[2]Combined Overview'!N$477+'[2]Combined Overview'!N$431+'[2]Combined Overview'!N$237</f>
        <v>2370</v>
      </c>
      <c r="J92" s="176">
        <f>+'[2]Combined Overview'!O$477+'[2]Combined Overview'!O$431+'[2]Combined Overview'!O$237</f>
        <v>2370</v>
      </c>
      <c r="K92" s="176">
        <f>+'[2]Combined Overview'!P$477+'[2]Combined Overview'!P$431+'[2]Combined Overview'!P$237</f>
        <v>2370</v>
      </c>
      <c r="L92" s="176">
        <f>+'[2]Combined Overview'!Q$477+'[2]Combined Overview'!Q$431+'[2]Combined Overview'!Q$237</f>
        <v>2370</v>
      </c>
      <c r="M92" s="176">
        <f>+'[2]Combined Overview'!R$477+'[2]Combined Overview'!R$431+'[2]Combined Overview'!R$237</f>
        <v>2370</v>
      </c>
      <c r="N92" s="176">
        <f>+'[2]Combined Overview'!S$477+'[2]Combined Overview'!S$431+'[2]Combined Overview'!S$237</f>
        <v>2370</v>
      </c>
      <c r="O92" s="176">
        <f>+'[2]Combined Overview'!T$477+'[2]Combined Overview'!T$431+'[2]Combined Overview'!T$237</f>
        <v>2370</v>
      </c>
      <c r="P92" s="177">
        <f t="shared" si="3"/>
        <v>28440</v>
      </c>
      <c r="Q92" s="164"/>
      <c r="R92" s="161"/>
      <c r="S92" s="162">
        <v>28440</v>
      </c>
      <c r="T92" s="176">
        <f>+'[2]Combined Overview'!Y$477+'[2]Combined Overview'!Y$431+'[2]Combined Overview'!Y$237</f>
        <v>21281.760000000002</v>
      </c>
      <c r="U92" s="176">
        <f>+'[2]Combined Overview'!Z$477+'[2]Combined Overview'!Z$431+'[2]Combined Overview'!Z$237</f>
        <v>25450</v>
      </c>
    </row>
    <row r="93" spans="2:22" x14ac:dyDescent="0.25">
      <c r="B93" s="175" t="s">
        <v>336</v>
      </c>
      <c r="C93" s="289" t="s">
        <v>337</v>
      </c>
      <c r="D93" s="176">
        <f>'[2]Combined Overview'!I290</f>
        <v>833.33333333333337</v>
      </c>
      <c r="E93" s="176">
        <f>'[2]Combined Overview'!J290</f>
        <v>1033.3333333333335</v>
      </c>
      <c r="F93" s="176">
        <f>'[2]Combined Overview'!K290</f>
        <v>833.33333333333337</v>
      </c>
      <c r="G93" s="176">
        <f>'[2]Combined Overview'!L290</f>
        <v>1033.3333333333335</v>
      </c>
      <c r="H93" s="176">
        <f>'[2]Combined Overview'!M290</f>
        <v>833.33333333333337</v>
      </c>
      <c r="I93" s="176">
        <f>'[2]Combined Overview'!N290</f>
        <v>1033.3333333333335</v>
      </c>
      <c r="J93" s="176">
        <f>'[2]Combined Overview'!O290</f>
        <v>833.33333333333337</v>
      </c>
      <c r="K93" s="176">
        <f>'[2]Combined Overview'!P290</f>
        <v>1033.3333333333335</v>
      </c>
      <c r="L93" s="176">
        <f>'[2]Combined Overview'!Q290</f>
        <v>833.33333333333337</v>
      </c>
      <c r="M93" s="176">
        <f>'[2]Combined Overview'!R290</f>
        <v>1033.3333333333335</v>
      </c>
      <c r="N93" s="176">
        <f>'[2]Combined Overview'!S290</f>
        <v>833.33333333333337</v>
      </c>
      <c r="O93" s="176">
        <f>'[2]Combined Overview'!T290</f>
        <v>833.33333333333337</v>
      </c>
      <c r="P93" s="177">
        <f t="shared" si="3"/>
        <v>11000</v>
      </c>
      <c r="Q93" s="164"/>
      <c r="R93" s="161"/>
      <c r="S93" s="162">
        <v>10000</v>
      </c>
      <c r="T93" s="176">
        <f>'[2]Combined Overview'!Y290</f>
        <v>14532.35</v>
      </c>
      <c r="U93" s="176">
        <f>'[2]Combined Overview'!Z290</f>
        <v>10225</v>
      </c>
    </row>
    <row r="94" spans="2:22" x14ac:dyDescent="0.25">
      <c r="B94" s="175" t="s">
        <v>338</v>
      </c>
      <c r="C94" s="289" t="s">
        <v>339</v>
      </c>
      <c r="D94" s="176">
        <f>'[2]Combined Overview'!I283</f>
        <v>1362.5</v>
      </c>
      <c r="E94" s="176">
        <f>'[2]Combined Overview'!J283</f>
        <v>1362.5</v>
      </c>
      <c r="F94" s="176">
        <f>'[2]Combined Overview'!K283</f>
        <v>1362.5</v>
      </c>
      <c r="G94" s="176">
        <f>'[2]Combined Overview'!L283</f>
        <v>1362.5</v>
      </c>
      <c r="H94" s="176">
        <f>'[2]Combined Overview'!M283</f>
        <v>1362.5</v>
      </c>
      <c r="I94" s="176">
        <f>'[2]Combined Overview'!N283</f>
        <v>1362.5</v>
      </c>
      <c r="J94" s="176">
        <f>'[2]Combined Overview'!O283</f>
        <v>1362.5</v>
      </c>
      <c r="K94" s="176">
        <f>'[2]Combined Overview'!P283</f>
        <v>1362.5</v>
      </c>
      <c r="L94" s="176">
        <f>'[2]Combined Overview'!Q283</f>
        <v>1362.5</v>
      </c>
      <c r="M94" s="176">
        <f>'[2]Combined Overview'!R283</f>
        <v>1362.5</v>
      </c>
      <c r="N94" s="176">
        <f>'[2]Combined Overview'!S283</f>
        <v>362.49999999999994</v>
      </c>
      <c r="O94" s="176">
        <f>'[2]Combined Overview'!T283</f>
        <v>1362.5</v>
      </c>
      <c r="P94" s="177">
        <f t="shared" ref="P94:P103" si="4">(ROUNDUP(SUM(D94:O94),0))</f>
        <v>15350</v>
      </c>
      <c r="Q94" s="164"/>
      <c r="R94" s="161"/>
      <c r="S94" s="162">
        <v>15250</v>
      </c>
      <c r="T94" s="176">
        <f>'[2]Combined Overview'!Y283</f>
        <v>12091.29</v>
      </c>
      <c r="U94" s="176">
        <f>'[2]Combined Overview'!Z283</f>
        <v>14364</v>
      </c>
    </row>
    <row r="95" spans="2:22" x14ac:dyDescent="0.25">
      <c r="B95" s="175" t="s">
        <v>340</v>
      </c>
      <c r="C95" s="163" t="s">
        <v>341</v>
      </c>
      <c r="D95" s="176">
        <f>'[2]Combined Overview'!I277</f>
        <v>2671.25</v>
      </c>
      <c r="E95" s="176">
        <f>'[2]Combined Overview'!J277</f>
        <v>0</v>
      </c>
      <c r="F95" s="176">
        <f>'[2]Combined Overview'!K277</f>
        <v>2671.25</v>
      </c>
      <c r="G95" s="176">
        <f>'[2]Combined Overview'!L277</f>
        <v>0</v>
      </c>
      <c r="H95" s="176">
        <f>'[2]Combined Overview'!M277</f>
        <v>0</v>
      </c>
      <c r="I95" s="176">
        <f>'[2]Combined Overview'!N277</f>
        <v>2671.25</v>
      </c>
      <c r="J95" s="176">
        <f>'[2]Combined Overview'!O277</f>
        <v>0</v>
      </c>
      <c r="K95" s="176">
        <f>'[2]Combined Overview'!P277</f>
        <v>0</v>
      </c>
      <c r="L95" s="176">
        <f>'[2]Combined Overview'!Q277</f>
        <v>1938.3750000000002</v>
      </c>
      <c r="M95" s="176">
        <f>'[2]Combined Overview'!R277</f>
        <v>0</v>
      </c>
      <c r="N95" s="176">
        <f>'[2]Combined Overview'!S277</f>
        <v>0</v>
      </c>
      <c r="O95" s="176">
        <f>'[2]Combined Overview'!T277</f>
        <v>0</v>
      </c>
      <c r="P95" s="177">
        <f t="shared" si="4"/>
        <v>9953</v>
      </c>
      <c r="Q95" s="164"/>
      <c r="R95" s="161"/>
      <c r="S95" s="162">
        <v>10953</v>
      </c>
      <c r="T95" s="176">
        <f>'[2]Combined Overview'!Y277</f>
        <v>7584.75</v>
      </c>
      <c r="U95" s="176">
        <f>'[2]Combined Overview'!Z277</f>
        <v>8515</v>
      </c>
    </row>
    <row r="96" spans="2:22" x14ac:dyDescent="0.25">
      <c r="B96" s="175" t="s">
        <v>342</v>
      </c>
      <c r="C96" s="289" t="s">
        <v>343</v>
      </c>
      <c r="D96" s="176">
        <f>'[2]Combined Overview'!I269</f>
        <v>132</v>
      </c>
      <c r="E96" s="176">
        <f>'[2]Combined Overview'!J269</f>
        <v>210</v>
      </c>
      <c r="F96" s="176">
        <f>'[2]Combined Overview'!K269</f>
        <v>0</v>
      </c>
      <c r="G96" s="176">
        <f>'[2]Combined Overview'!L269</f>
        <v>0</v>
      </c>
      <c r="H96" s="176">
        <f>'[2]Combined Overview'!M269</f>
        <v>569</v>
      </c>
      <c r="I96" s="176">
        <f>'[2]Combined Overview'!N269</f>
        <v>0</v>
      </c>
      <c r="J96" s="176">
        <f>'[2]Combined Overview'!O269</f>
        <v>0</v>
      </c>
      <c r="K96" s="176">
        <f>'[2]Combined Overview'!P269</f>
        <v>175</v>
      </c>
      <c r="L96" s="176">
        <f>'[2]Combined Overview'!Q269</f>
        <v>0</v>
      </c>
      <c r="M96" s="176">
        <f>'[2]Combined Overview'!R269</f>
        <v>0</v>
      </c>
      <c r="N96" s="176">
        <f>'[2]Combined Overview'!S269</f>
        <v>250</v>
      </c>
      <c r="O96" s="176">
        <f>'[2]Combined Overview'!T269</f>
        <v>0</v>
      </c>
      <c r="P96" s="177">
        <f t="shared" si="4"/>
        <v>1336</v>
      </c>
      <c r="Q96" s="164"/>
      <c r="R96" s="161"/>
      <c r="S96" s="162">
        <v>1336</v>
      </c>
      <c r="T96" s="176">
        <f>'[2]Combined Overview'!Y269</f>
        <v>1123.79</v>
      </c>
      <c r="U96" s="176">
        <f>'[2]Combined Overview'!Z269</f>
        <v>740</v>
      </c>
    </row>
    <row r="97" spans="2:25" x14ac:dyDescent="0.25">
      <c r="B97" s="175" t="s">
        <v>234</v>
      </c>
      <c r="C97" s="289" t="s">
        <v>35</v>
      </c>
      <c r="D97" s="176">
        <f>'[2]Combined Overview'!I263</f>
        <v>886.28</v>
      </c>
      <c r="E97" s="176">
        <f>'[2]Combined Overview'!J263</f>
        <v>886.28</v>
      </c>
      <c r="F97" s="176">
        <f>'[2]Combined Overview'!K263</f>
        <v>886.28</v>
      </c>
      <c r="G97" s="176">
        <f>'[2]Combined Overview'!L263</f>
        <v>886.28</v>
      </c>
      <c r="H97" s="176">
        <f>'[2]Combined Overview'!M263</f>
        <v>886.28</v>
      </c>
      <c r="I97" s="176">
        <f>'[2]Combined Overview'!N263</f>
        <v>886.28</v>
      </c>
      <c r="J97" s="176">
        <f>'[2]Combined Overview'!O263</f>
        <v>886.28</v>
      </c>
      <c r="K97" s="176">
        <f>'[2]Combined Overview'!P263</f>
        <v>886.28</v>
      </c>
      <c r="L97" s="176">
        <f>'[2]Combined Overview'!Q263</f>
        <v>886.28</v>
      </c>
      <c r="M97" s="176">
        <f>'[2]Combined Overview'!R263</f>
        <v>886.28</v>
      </c>
      <c r="N97" s="176">
        <f>'[2]Combined Overview'!S263</f>
        <v>886.28</v>
      </c>
      <c r="O97" s="176">
        <f>'[2]Combined Overview'!T263</f>
        <v>886.28</v>
      </c>
      <c r="P97" s="177">
        <f t="shared" si="4"/>
        <v>10636</v>
      </c>
      <c r="Q97" s="164"/>
      <c r="R97" s="161"/>
      <c r="S97" s="162">
        <v>10636</v>
      </c>
      <c r="T97" s="176">
        <f>'[2]Combined Overview'!Y263</f>
        <v>8862.7999999999993</v>
      </c>
      <c r="U97" s="176">
        <f>'[2]Combined Overview'!Z263</f>
        <v>10636</v>
      </c>
    </row>
    <row r="98" spans="2:25" x14ac:dyDescent="0.25">
      <c r="B98" s="175">
        <v>5373</v>
      </c>
      <c r="C98" s="289" t="s">
        <v>344</v>
      </c>
      <c r="D98" s="176">
        <f>'[2]Combined Overview'!I298</f>
        <v>666.66666666666663</v>
      </c>
      <c r="E98" s="176">
        <f>'[2]Combined Overview'!J298</f>
        <v>666.66666666666663</v>
      </c>
      <c r="F98" s="176">
        <f>'[2]Combined Overview'!K298</f>
        <v>666.66666666666663</v>
      </c>
      <c r="G98" s="176">
        <f>'[2]Combined Overview'!L298</f>
        <v>666.66666666666663</v>
      </c>
      <c r="H98" s="176">
        <f>'[2]Combined Overview'!M298</f>
        <v>666.66666666666663</v>
      </c>
      <c r="I98" s="176">
        <f>'[2]Combined Overview'!N298</f>
        <v>666.66666666666663</v>
      </c>
      <c r="J98" s="176">
        <f>'[2]Combined Overview'!O298</f>
        <v>666.66666666666663</v>
      </c>
      <c r="K98" s="176">
        <f>'[2]Combined Overview'!P298</f>
        <v>666.66666666666663</v>
      </c>
      <c r="L98" s="176">
        <f>'[2]Combined Overview'!Q298</f>
        <v>666.66666666666663</v>
      </c>
      <c r="M98" s="176">
        <f>'[2]Combined Overview'!R298</f>
        <v>666.66666666666663</v>
      </c>
      <c r="N98" s="176">
        <f>'[2]Combined Overview'!S298</f>
        <v>666.66666666666663</v>
      </c>
      <c r="O98" s="176">
        <f>'[2]Combined Overview'!T298</f>
        <v>666.66666666666663</v>
      </c>
      <c r="P98" s="177">
        <f t="shared" si="4"/>
        <v>8000</v>
      </c>
      <c r="Q98" s="178"/>
      <c r="R98" s="161">
        <v>0</v>
      </c>
      <c r="S98" s="162">
        <v>8000</v>
      </c>
      <c r="T98" s="176">
        <f>'[2]Combined Overview'!Y298</f>
        <v>11781.18</v>
      </c>
      <c r="U98" s="176">
        <f>'[2]Combined Overview'!Z298</f>
        <v>8000</v>
      </c>
    </row>
    <row r="99" spans="2:25" x14ac:dyDescent="0.25">
      <c r="B99" s="182" t="s">
        <v>345</v>
      </c>
      <c r="C99" s="289" t="s">
        <v>346</v>
      </c>
      <c r="D99" s="176">
        <f>'[2]Combined Overview'!I89</f>
        <v>0</v>
      </c>
      <c r="E99" s="176">
        <f>'[2]Combined Overview'!J89</f>
        <v>0</v>
      </c>
      <c r="F99" s="176">
        <f>'[2]Combined Overview'!K89</f>
        <v>0</v>
      </c>
      <c r="G99" s="176">
        <f>'[2]Combined Overview'!L89</f>
        <v>0</v>
      </c>
      <c r="H99" s="176">
        <f>'[2]Combined Overview'!M89</f>
        <v>0</v>
      </c>
      <c r="I99" s="176">
        <f>'[2]Combined Overview'!N89</f>
        <v>0</v>
      </c>
      <c r="J99" s="176">
        <f>'[2]Combined Overview'!O89</f>
        <v>0</v>
      </c>
      <c r="K99" s="176">
        <f>'[2]Combined Overview'!P89</f>
        <v>0</v>
      </c>
      <c r="L99" s="176">
        <f>'[2]Combined Overview'!Q89</f>
        <v>0</v>
      </c>
      <c r="M99" s="176">
        <f>'[2]Combined Overview'!R89</f>
        <v>10000</v>
      </c>
      <c r="N99" s="176">
        <f>'[2]Combined Overview'!S89</f>
        <v>0</v>
      </c>
      <c r="O99" s="176">
        <f>'[2]Combined Overview'!T89</f>
        <v>0</v>
      </c>
      <c r="P99" s="177">
        <f t="shared" si="4"/>
        <v>10000</v>
      </c>
      <c r="Q99" s="178">
        <f>+P99-'[2]Combined Overview'!$U$89</f>
        <v>0</v>
      </c>
      <c r="R99" s="161"/>
      <c r="S99" s="162">
        <v>10000</v>
      </c>
      <c r="T99" s="176">
        <f>'[2]Combined Overview'!Y89</f>
        <v>0</v>
      </c>
      <c r="U99" s="176">
        <f>'[2]Combined Overview'!Z89</f>
        <v>0</v>
      </c>
    </row>
    <row r="100" spans="2:25" x14ac:dyDescent="0.25">
      <c r="B100" s="182">
        <v>5208</v>
      </c>
      <c r="C100" s="289" t="s">
        <v>196</v>
      </c>
      <c r="D100" s="176">
        <f>'[2]Combined Overview'!I83</f>
        <v>700</v>
      </c>
      <c r="E100" s="176">
        <f>'[2]Combined Overview'!J83</f>
        <v>700</v>
      </c>
      <c r="F100" s="176">
        <f>'[2]Combined Overview'!K83</f>
        <v>800</v>
      </c>
      <c r="G100" s="176">
        <f>'[2]Combined Overview'!L83</f>
        <v>900</v>
      </c>
      <c r="H100" s="176">
        <f>'[2]Combined Overview'!M83</f>
        <v>900</v>
      </c>
      <c r="I100" s="176">
        <f>'[2]Combined Overview'!N83</f>
        <v>700</v>
      </c>
      <c r="J100" s="176">
        <f>'[2]Combined Overview'!O83</f>
        <v>800</v>
      </c>
      <c r="K100" s="176">
        <f>'[2]Combined Overview'!P83</f>
        <v>800</v>
      </c>
      <c r="L100" s="176">
        <f>'[2]Combined Overview'!Q83</f>
        <v>700</v>
      </c>
      <c r="M100" s="176">
        <f>'[2]Combined Overview'!R83</f>
        <v>900</v>
      </c>
      <c r="N100" s="176">
        <f>'[2]Combined Overview'!S83</f>
        <v>800</v>
      </c>
      <c r="O100" s="176">
        <f>'[2]Combined Overview'!T83</f>
        <v>400</v>
      </c>
      <c r="P100" s="177">
        <f t="shared" si="4"/>
        <v>9100</v>
      </c>
      <c r="Q100" s="178"/>
      <c r="R100" s="161"/>
      <c r="S100" s="162">
        <v>9905</v>
      </c>
      <c r="T100" s="176">
        <f>'[2]Combined Overview'!Y83</f>
        <v>7674.11</v>
      </c>
      <c r="U100" s="176">
        <f>'[2]Combined Overview'!Z83</f>
        <v>14380</v>
      </c>
    </row>
    <row r="101" spans="2:25" x14ac:dyDescent="0.25">
      <c r="B101" s="184" t="s">
        <v>347</v>
      </c>
      <c r="C101" s="185" t="s">
        <v>348</v>
      </c>
      <c r="D101" s="176">
        <f>+'[2]Combined Overview'!I$110+'[2]Combined Overview'!I$414+'[2]Combined Overview'!I$448</f>
        <v>129741.91333333333</v>
      </c>
      <c r="E101" s="176">
        <f>+'[2]Combined Overview'!J$110+'[2]Combined Overview'!J$414+'[2]Combined Overview'!J$448</f>
        <v>129741.91333333333</v>
      </c>
      <c r="F101" s="176">
        <f>+'[2]Combined Overview'!K$110+'[2]Combined Overview'!K$414+'[2]Combined Overview'!K$448</f>
        <v>129741.91333333333</v>
      </c>
      <c r="G101" s="176">
        <f>+'[2]Combined Overview'!L$110+'[2]Combined Overview'!L$414+'[2]Combined Overview'!L$448</f>
        <v>129741.91333333333</v>
      </c>
      <c r="H101" s="176">
        <f>+'[2]Combined Overview'!M$110+'[2]Combined Overview'!M$414+'[2]Combined Overview'!M$448</f>
        <v>129741.91333333333</v>
      </c>
      <c r="I101" s="176">
        <f>+'[2]Combined Overview'!N$110+'[2]Combined Overview'!N$414+'[2]Combined Overview'!N$448</f>
        <v>129741.91333333333</v>
      </c>
      <c r="J101" s="176">
        <f>+'[2]Combined Overview'!O$110+'[2]Combined Overview'!O$414+'[2]Combined Overview'!O$448</f>
        <v>129741.91333333333</v>
      </c>
      <c r="K101" s="176">
        <f>+'[2]Combined Overview'!P$110+'[2]Combined Overview'!P$414+'[2]Combined Overview'!P$448</f>
        <v>129741.91333333333</v>
      </c>
      <c r="L101" s="176">
        <f>+'[2]Combined Overview'!Q$110+'[2]Combined Overview'!Q$414+'[2]Combined Overview'!Q$448</f>
        <v>129741.91333333333</v>
      </c>
      <c r="M101" s="176">
        <f>+'[2]Combined Overview'!R$110+'[2]Combined Overview'!R$414+'[2]Combined Overview'!R$448</f>
        <v>129741.91333333333</v>
      </c>
      <c r="N101" s="176">
        <f>+'[2]Combined Overview'!S$110+'[2]Combined Overview'!S$414+'[2]Combined Overview'!S$448</f>
        <v>129741.91333333333</v>
      </c>
      <c r="O101" s="176">
        <f>+'[2]Combined Overview'!T$110+'[2]Combined Overview'!T$414+'[2]Combined Overview'!T$448</f>
        <v>129741.91333333333</v>
      </c>
      <c r="P101" s="229">
        <f t="shared" si="4"/>
        <v>1556903</v>
      </c>
      <c r="Q101" s="233"/>
      <c r="R101" s="231"/>
      <c r="S101" s="231">
        <v>1567311</v>
      </c>
      <c r="T101" s="231">
        <f>+'[2]Combined Overview'!Y$110+'[2]Combined Overview'!Y$414+'[2]Combined Overview'!Y$448</f>
        <v>813420.94000000006</v>
      </c>
      <c r="U101" s="231">
        <f>+'[2]Combined Overview'!Z$110+'[2]Combined Overview'!Z$414+'[2]Combined Overview'!Z$448</f>
        <v>1350079.04</v>
      </c>
      <c r="V101" s="234">
        <f>SUM(P101)</f>
        <v>1556903</v>
      </c>
    </row>
    <row r="102" spans="2:25" x14ac:dyDescent="0.25">
      <c r="B102" s="182">
        <v>5120</v>
      </c>
      <c r="C102" s="289" t="s">
        <v>197</v>
      </c>
      <c r="D102" s="176">
        <f>'[2]Combined Overview'!I65</f>
        <v>0</v>
      </c>
      <c r="E102" s="176">
        <f>'[2]Combined Overview'!J65</f>
        <v>0</v>
      </c>
      <c r="F102" s="176">
        <f>'[2]Combined Overview'!K65</f>
        <v>0</v>
      </c>
      <c r="G102" s="176">
        <f>'[2]Combined Overview'!L65</f>
        <v>5000</v>
      </c>
      <c r="H102" s="176">
        <f>'[2]Combined Overview'!M65</f>
        <v>0</v>
      </c>
      <c r="I102" s="176">
        <f>'[2]Combined Overview'!N65</f>
        <v>0</v>
      </c>
      <c r="J102" s="176">
        <f>'[2]Combined Overview'!O65</f>
        <v>5000</v>
      </c>
      <c r="K102" s="176">
        <f>'[2]Combined Overview'!P65</f>
        <v>0</v>
      </c>
      <c r="L102" s="176">
        <f>'[2]Combined Overview'!Q65</f>
        <v>0</v>
      </c>
      <c r="M102" s="176">
        <f>'[2]Combined Overview'!R65</f>
        <v>0</v>
      </c>
      <c r="N102" s="176">
        <f>'[2]Combined Overview'!S65</f>
        <v>0</v>
      </c>
      <c r="O102" s="176">
        <f>'[2]Combined Overview'!T65</f>
        <v>5000</v>
      </c>
      <c r="P102" s="177">
        <f t="shared" si="4"/>
        <v>15000</v>
      </c>
      <c r="Q102" s="178"/>
      <c r="R102" s="161">
        <v>0</v>
      </c>
      <c r="S102" s="162">
        <v>15000</v>
      </c>
      <c r="T102" s="176">
        <f>'[2]Combined Overview'!Y65</f>
        <v>4225.13</v>
      </c>
      <c r="U102" s="176">
        <f>'[2]Combined Overview'!Z65</f>
        <v>0</v>
      </c>
    </row>
    <row r="103" spans="2:25" x14ac:dyDescent="0.25">
      <c r="B103" s="184" t="s">
        <v>349</v>
      </c>
      <c r="C103" s="181" t="s">
        <v>198</v>
      </c>
      <c r="D103" s="176">
        <f>+'[2]Combined Overview'!I$127+'[2]Combined Overview'!I$417+'[2]Combined Overview'!I$453</f>
        <v>6292.166666666667</v>
      </c>
      <c r="E103" s="176">
        <f>+'[2]Combined Overview'!J$127+'[2]Combined Overview'!J$417+'[2]Combined Overview'!J$453</f>
        <v>7087.89</v>
      </c>
      <c r="F103" s="176">
        <f>+'[2]Combined Overview'!K$127+'[2]Combined Overview'!K$417+'[2]Combined Overview'!K$453</f>
        <v>7087.89</v>
      </c>
      <c r="G103" s="176">
        <f>+'[2]Combined Overview'!L$127+'[2]Combined Overview'!L$417+'[2]Combined Overview'!L$453</f>
        <v>7087.89</v>
      </c>
      <c r="H103" s="176">
        <f>+'[2]Combined Overview'!M$127+'[2]Combined Overview'!M$417+'[2]Combined Overview'!M$453</f>
        <v>7087.89</v>
      </c>
      <c r="I103" s="176">
        <f>+'[2]Combined Overview'!N$127+'[2]Combined Overview'!N$417+'[2]Combined Overview'!N$453</f>
        <v>7087.89</v>
      </c>
      <c r="J103" s="176">
        <f>+'[2]Combined Overview'!O$127+'[2]Combined Overview'!O$417+'[2]Combined Overview'!O$453</f>
        <v>1480.89</v>
      </c>
      <c r="K103" s="176">
        <f>+'[2]Combined Overview'!P$127+'[2]Combined Overview'!P$417+'[2]Combined Overview'!P$453</f>
        <v>1480.89</v>
      </c>
      <c r="L103" s="176">
        <f>+'[2]Combined Overview'!Q$127+'[2]Combined Overview'!Q$417+'[2]Combined Overview'!Q$453</f>
        <v>1480.89</v>
      </c>
      <c r="M103" s="176">
        <f>+'[2]Combined Overview'!R$127+'[2]Combined Overview'!R$417+'[2]Combined Overview'!R$453</f>
        <v>7648.8899999999994</v>
      </c>
      <c r="N103" s="176">
        <f>+'[2]Combined Overview'!S$127+'[2]Combined Overview'!S$417+'[2]Combined Overview'!S$453</f>
        <v>7648.8899999999994</v>
      </c>
      <c r="O103" s="176">
        <f>+'[2]Combined Overview'!T$127+'[2]Combined Overview'!T$417+'[2]Combined Overview'!T$453</f>
        <v>7648.8899999999994</v>
      </c>
      <c r="P103" s="177">
        <f t="shared" si="4"/>
        <v>69121</v>
      </c>
      <c r="Q103" s="164"/>
      <c r="R103" s="160"/>
      <c r="S103" s="160">
        <v>58518</v>
      </c>
      <c r="T103" s="160">
        <f>+'[2]Combined Overview'!Y$127+'[2]Combined Overview'!Y$417+'[2]Combined Overview'!Y$453</f>
        <v>33338</v>
      </c>
      <c r="U103" s="160">
        <f>+'[2]Combined Overview'!Z$127+'[2]Combined Overview'!Z$417+'[2]Combined Overview'!Z$453</f>
        <v>41772</v>
      </c>
      <c r="V103" s="167">
        <f>SUM(P103)</f>
        <v>69121</v>
      </c>
    </row>
    <row r="104" spans="2:25" x14ac:dyDescent="0.25">
      <c r="B104" s="163"/>
      <c r="C104" s="163"/>
      <c r="D104" s="176"/>
      <c r="E104" s="176"/>
      <c r="F104" s="176"/>
      <c r="G104" s="176"/>
      <c r="H104" s="176"/>
      <c r="I104" s="176"/>
      <c r="J104" s="176"/>
      <c r="K104" s="176"/>
      <c r="L104" s="176"/>
      <c r="M104" s="176"/>
      <c r="N104" s="176"/>
      <c r="O104" s="176"/>
      <c r="P104" s="160"/>
      <c r="Q104" s="164"/>
      <c r="R104" s="161"/>
      <c r="S104" s="162">
        <v>0</v>
      </c>
      <c r="T104" s="164"/>
      <c r="U104" s="165"/>
      <c r="V104" s="179"/>
    </row>
    <row r="105" spans="2:25" x14ac:dyDescent="0.25">
      <c r="B105" s="163"/>
      <c r="C105" s="163"/>
      <c r="D105" s="164"/>
      <c r="E105" s="164"/>
      <c r="F105" s="164"/>
      <c r="G105" s="164"/>
      <c r="H105" s="164"/>
      <c r="I105" s="164"/>
      <c r="J105" s="164"/>
      <c r="K105" s="164"/>
      <c r="L105" s="164"/>
      <c r="M105" s="164"/>
      <c r="N105" s="164"/>
      <c r="O105" s="164"/>
      <c r="P105" s="164"/>
      <c r="Q105" s="164"/>
      <c r="R105" s="161"/>
      <c r="S105" s="162">
        <v>0</v>
      </c>
      <c r="T105" s="164"/>
      <c r="U105" s="165"/>
    </row>
    <row r="106" spans="2:25" x14ac:dyDescent="0.25">
      <c r="B106" s="186" t="s">
        <v>22</v>
      </c>
      <c r="C106" s="186"/>
      <c r="D106" s="187">
        <f t="shared" ref="D106:P106" si="5">SUM(D30:D105)</f>
        <v>245649.41874999998</v>
      </c>
      <c r="E106" s="187">
        <f t="shared" si="5"/>
        <v>222569.71208333335</v>
      </c>
      <c r="F106" s="187">
        <f t="shared" si="5"/>
        <v>270673.4654166667</v>
      </c>
      <c r="G106" s="187">
        <f t="shared" si="5"/>
        <v>227273.28208333335</v>
      </c>
      <c r="H106" s="187">
        <f t="shared" si="5"/>
        <v>598345.78958333342</v>
      </c>
      <c r="I106" s="187">
        <f t="shared" si="5"/>
        <v>847791.19708333339</v>
      </c>
      <c r="J106" s="187">
        <f t="shared" si="5"/>
        <v>451015.67291666672</v>
      </c>
      <c r="K106" s="187">
        <f t="shared" si="5"/>
        <v>224624.98208333337</v>
      </c>
      <c r="L106" s="187">
        <f t="shared" si="5"/>
        <v>247567.58708333335</v>
      </c>
      <c r="M106" s="187">
        <f t="shared" si="5"/>
        <v>232712.72208333336</v>
      </c>
      <c r="N106" s="187">
        <f t="shared" si="5"/>
        <v>234163.10541666666</v>
      </c>
      <c r="O106" s="187">
        <f t="shared" si="5"/>
        <v>653523.99375000002</v>
      </c>
      <c r="P106" s="187">
        <f t="shared" si="5"/>
        <v>4455919</v>
      </c>
      <c r="Q106" s="188"/>
      <c r="R106" s="189">
        <f>SUM(R30:R105)</f>
        <v>0</v>
      </c>
      <c r="S106" s="189">
        <v>4843422</v>
      </c>
      <c r="T106" s="189">
        <f>SUM(T30:T105)</f>
        <v>2797679.7400000007</v>
      </c>
      <c r="U106" s="189">
        <f>SUM(U30:U105)</f>
        <v>4220271</v>
      </c>
      <c r="Y106" s="179"/>
    </row>
    <row r="107" spans="2:25" x14ac:dyDescent="0.25">
      <c r="C107" s="150" t="s">
        <v>255</v>
      </c>
      <c r="D107" s="174">
        <f>+D106-'[2]Combined Overview'!I$499</f>
        <v>0</v>
      </c>
      <c r="E107" s="174">
        <f>+E106-'[2]Combined Overview'!J$499</f>
        <v>3.3333490137010813E-6</v>
      </c>
      <c r="F107" s="174">
        <f>+F106-'[2]Combined Overview'!K$499</f>
        <v>6.6666980274021626E-6</v>
      </c>
      <c r="G107" s="174">
        <f>+G106-'[2]Combined Overview'!L$499</f>
        <v>3.3333490137010813E-6</v>
      </c>
      <c r="H107" s="174">
        <f>+H106-'[2]Combined Overview'!M$499</f>
        <v>3.3334363251924515E-6</v>
      </c>
      <c r="I107" s="174">
        <f>+I106-'[2]Combined Overview'!N$499</f>
        <v>3.3334363251924515E-6</v>
      </c>
      <c r="J107" s="174">
        <f>+J106-'[2]Combined Overview'!O$499</f>
        <v>6.6666980274021626E-6</v>
      </c>
      <c r="K107" s="174">
        <f>+K106-'[2]Combined Overview'!P$499</f>
        <v>3.333378117531538E-6</v>
      </c>
      <c r="L107" s="174">
        <f>+L106-'[2]Combined Overview'!Q$499</f>
        <v>3.3333490137010813E-6</v>
      </c>
      <c r="M107" s="174">
        <f>+M106-'[2]Combined Overview'!R$499</f>
        <v>3.3333490137010813E-6</v>
      </c>
      <c r="N107" s="174">
        <f>+N106-'[2]Combined Overview'!S$499</f>
        <v>6.6666689235717058E-6</v>
      </c>
      <c r="O107" s="174">
        <f>+O106-'[2]Combined Overview'!T$499</f>
        <v>0</v>
      </c>
      <c r="P107" s="174">
        <f>+P106-'[2]Combined Overview'!$U$499</f>
        <v>8.0717099998146296</v>
      </c>
      <c r="Q107" s="149" t="s">
        <v>350</v>
      </c>
      <c r="S107" s="174"/>
      <c r="T107" s="174">
        <f>+T106-'[2]Combined Overview'!$Y$499</f>
        <v>0</v>
      </c>
      <c r="U107" s="174">
        <f>+U106-'[2]Combined Overview'!$Z$499</f>
        <v>0</v>
      </c>
    </row>
    <row r="108" spans="2:25" x14ac:dyDescent="0.25">
      <c r="P108" s="174"/>
    </row>
    <row r="109" spans="2:25" ht="14.4" thickBot="1" x14ac:dyDescent="0.3">
      <c r="B109" s="190" t="s">
        <v>351</v>
      </c>
      <c r="C109" s="190"/>
      <c r="D109" s="191">
        <f t="shared" ref="D109:R109" si="6">D28-D106</f>
        <v>303929.58125000005</v>
      </c>
      <c r="E109" s="191">
        <f t="shared" si="6"/>
        <v>-19564.712083333347</v>
      </c>
      <c r="F109" s="191">
        <f t="shared" si="6"/>
        <v>14259.534583333298</v>
      </c>
      <c r="G109" s="191">
        <f t="shared" si="6"/>
        <v>-5767.2820833333535</v>
      </c>
      <c r="H109" s="191">
        <f t="shared" si="6"/>
        <v>-56451.789583333419</v>
      </c>
      <c r="I109" s="191">
        <f t="shared" si="6"/>
        <v>-206244.19708333339</v>
      </c>
      <c r="J109" s="191">
        <f t="shared" si="6"/>
        <v>-72872.672916666721</v>
      </c>
      <c r="K109" s="191">
        <f t="shared" si="6"/>
        <v>-15364.982083333365</v>
      </c>
      <c r="L109" s="191">
        <f t="shared" si="6"/>
        <v>29979.412916666653</v>
      </c>
      <c r="M109" s="191">
        <f t="shared" si="6"/>
        <v>-18319.722083333356</v>
      </c>
      <c r="N109" s="191">
        <f t="shared" si="6"/>
        <v>-18998.105416666658</v>
      </c>
      <c r="O109" s="191">
        <f t="shared" si="6"/>
        <v>108983.00624999998</v>
      </c>
      <c r="P109" s="191">
        <f t="shared" si="6"/>
        <v>43560</v>
      </c>
      <c r="Q109" s="191">
        <f t="shared" si="6"/>
        <v>0</v>
      </c>
      <c r="R109" s="191">
        <f t="shared" si="6"/>
        <v>0</v>
      </c>
      <c r="S109" s="191">
        <v>-196893</v>
      </c>
      <c r="T109" s="191" t="e">
        <f>T28-T106</f>
        <v>#REF!</v>
      </c>
      <c r="U109" s="191">
        <f>U28-U106</f>
        <v>325982</v>
      </c>
    </row>
    <row r="110" spans="2:25" ht="14.4" thickTop="1" x14ac:dyDescent="0.25">
      <c r="P110" s="167"/>
    </row>
    <row r="111" spans="2:25" x14ac:dyDescent="0.25">
      <c r="B111" s="173"/>
    </row>
    <row r="114" spans="15:15" x14ac:dyDescent="0.25">
      <c r="O114" s="174"/>
    </row>
  </sheetData>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0"/>
  <sheetViews>
    <sheetView topLeftCell="A16" workbookViewId="0">
      <selection activeCell="D47" sqref="D47"/>
    </sheetView>
  </sheetViews>
  <sheetFormatPr defaultRowHeight="14.4" x14ac:dyDescent="0.3"/>
  <cols>
    <col min="1" max="1" width="42.33203125" style="26" bestFit="1" customWidth="1"/>
    <col min="2" max="2" width="0" hidden="1" customWidth="1"/>
    <col min="3" max="3" width="14.33203125" style="298" bestFit="1" customWidth="1"/>
    <col min="4" max="4" width="13.44140625" style="295" bestFit="1" customWidth="1"/>
    <col min="7" max="7" width="12.33203125" bestFit="1" customWidth="1"/>
  </cols>
  <sheetData>
    <row r="1" spans="1:9" s="25" customFormat="1" ht="16.95" customHeight="1" x14ac:dyDescent="0.3">
      <c r="A1" s="563" t="s">
        <v>0</v>
      </c>
      <c r="B1" s="563"/>
      <c r="C1" s="563"/>
      <c r="D1" s="292"/>
      <c r="E1" s="137"/>
      <c r="F1" s="137"/>
      <c r="G1" s="137"/>
      <c r="H1" s="137"/>
      <c r="I1" s="24"/>
    </row>
    <row r="2" spans="1:9" s="25" customFormat="1" ht="16.95" customHeight="1" x14ac:dyDescent="0.3">
      <c r="A2" s="563" t="s">
        <v>359</v>
      </c>
      <c r="B2" s="563"/>
      <c r="C2" s="563"/>
      <c r="D2" s="292"/>
      <c r="E2" s="137"/>
      <c r="F2" s="137"/>
      <c r="G2" s="137"/>
      <c r="H2" s="137"/>
      <c r="I2" s="24"/>
    </row>
    <row r="3" spans="1:9" s="25" customFormat="1" ht="16.95" customHeight="1" x14ac:dyDescent="0.3">
      <c r="A3" s="563" t="s">
        <v>250</v>
      </c>
      <c r="B3" s="563"/>
      <c r="C3" s="563"/>
      <c r="D3" s="292"/>
      <c r="E3" s="137"/>
      <c r="F3" s="137"/>
      <c r="G3" s="137"/>
      <c r="H3" s="137"/>
      <c r="I3" s="24"/>
    </row>
    <row r="4" spans="1:9" s="25" customFormat="1" ht="16.95" customHeight="1" x14ac:dyDescent="0.3">
      <c r="A4" s="137"/>
      <c r="B4" s="137"/>
      <c r="C4" s="293"/>
      <c r="D4" s="292"/>
      <c r="E4" s="137"/>
      <c r="F4" s="137"/>
      <c r="G4" s="137"/>
      <c r="H4" s="137"/>
      <c r="I4" s="24"/>
    </row>
    <row r="6" spans="1:9" x14ac:dyDescent="0.3">
      <c r="A6" s="22" t="s">
        <v>1</v>
      </c>
      <c r="B6" s="2"/>
      <c r="C6" s="294" t="s">
        <v>7</v>
      </c>
    </row>
    <row r="7" spans="1:9" x14ac:dyDescent="0.3">
      <c r="A7" s="21" t="s">
        <v>8</v>
      </c>
      <c r="B7" s="2">
        <v>1</v>
      </c>
      <c r="C7" s="296">
        <f>SUM('FC-Final Cash'!$P$4:$P$7)</f>
        <v>542000</v>
      </c>
    </row>
    <row r="8" spans="1:9" x14ac:dyDescent="0.3">
      <c r="A8" s="21" t="s">
        <v>9</v>
      </c>
      <c r="B8" s="2">
        <v>2</v>
      </c>
      <c r="C8" s="296">
        <f>SUM('FC-Final Cash'!$P$8:$P$12)</f>
        <v>500500</v>
      </c>
    </row>
    <row r="9" spans="1:9" x14ac:dyDescent="0.3">
      <c r="A9" s="21" t="s">
        <v>5</v>
      </c>
      <c r="B9" s="2">
        <v>3</v>
      </c>
      <c r="C9" s="296">
        <f>SUM('FC-Final Cash'!$P$13:$P$15)</f>
        <v>1956000</v>
      </c>
    </row>
    <row r="10" spans="1:9" x14ac:dyDescent="0.3">
      <c r="A10" s="21" t="s">
        <v>12</v>
      </c>
      <c r="B10" s="2">
        <v>4</v>
      </c>
      <c r="C10" s="296">
        <f>SUM('FC-Final Cash'!$P$16:$P$20)</f>
        <v>94890</v>
      </c>
    </row>
    <row r="11" spans="1:9" x14ac:dyDescent="0.3">
      <c r="A11" s="21" t="s">
        <v>30</v>
      </c>
      <c r="B11" s="2">
        <v>5</v>
      </c>
      <c r="C11" s="296">
        <v>0</v>
      </c>
    </row>
    <row r="12" spans="1:9" x14ac:dyDescent="0.3">
      <c r="A12" s="21" t="s">
        <v>31</v>
      </c>
      <c r="B12" s="2">
        <v>6</v>
      </c>
      <c r="C12" s="297">
        <f>+'FC-Final Cash'!$P$22+0.08</f>
        <v>272507</v>
      </c>
    </row>
    <row r="13" spans="1:9" ht="17.399999999999999" x14ac:dyDescent="0.55000000000000004">
      <c r="A13" s="309" t="s">
        <v>39</v>
      </c>
      <c r="B13" s="310"/>
      <c r="C13" s="311">
        <f>SUM(C7:C12)</f>
        <v>3365897</v>
      </c>
    </row>
    <row r="14" spans="1:9" x14ac:dyDescent="0.3">
      <c r="A14" s="21"/>
      <c r="B14" s="2"/>
      <c r="C14" s="296"/>
    </row>
    <row r="15" spans="1:9" x14ac:dyDescent="0.3">
      <c r="A15" s="22" t="s">
        <v>14</v>
      </c>
      <c r="B15" s="2"/>
      <c r="C15" s="296"/>
    </row>
    <row r="16" spans="1:9" x14ac:dyDescent="0.3">
      <c r="A16" s="23" t="s">
        <v>391</v>
      </c>
      <c r="B16" s="2">
        <v>1</v>
      </c>
      <c r="C16" s="296">
        <f>ROUNDUP('P&amp;L FY20'!H21,0)</f>
        <v>1914521</v>
      </c>
      <c r="E16" s="127"/>
    </row>
    <row r="17" spans="1:9" x14ac:dyDescent="0.3">
      <c r="A17" s="23" t="s">
        <v>17</v>
      </c>
      <c r="B17" s="2">
        <v>3</v>
      </c>
      <c r="C17" s="296">
        <f>+'P&amp;L FY20'!H22</f>
        <v>28375</v>
      </c>
      <c r="E17" s="127"/>
    </row>
    <row r="18" spans="1:9" x14ac:dyDescent="0.3">
      <c r="A18" s="23" t="s">
        <v>29</v>
      </c>
      <c r="B18" s="2">
        <v>4</v>
      </c>
      <c r="C18" s="296" t="e">
        <f>+'P&amp;L FY20'!H23</f>
        <v>#REF!</v>
      </c>
      <c r="E18" s="127"/>
    </row>
    <row r="19" spans="1:9" x14ac:dyDescent="0.3">
      <c r="A19" s="23" t="s">
        <v>28</v>
      </c>
      <c r="B19" s="2"/>
      <c r="C19" s="296">
        <f>+'P&amp;L FY20'!H24</f>
        <v>104580.36</v>
      </c>
      <c r="E19" s="127"/>
    </row>
    <row r="20" spans="1:9" x14ac:dyDescent="0.3">
      <c r="A20" s="23" t="s">
        <v>18</v>
      </c>
      <c r="B20" s="2"/>
      <c r="C20" s="296">
        <f>+'P&amp;L FY20'!H25</f>
        <v>122006.08167</v>
      </c>
      <c r="E20" s="127"/>
    </row>
    <row r="21" spans="1:9" x14ac:dyDescent="0.3">
      <c r="A21" s="23" t="s">
        <v>19</v>
      </c>
      <c r="B21" s="2"/>
      <c r="C21" s="296">
        <f>+'P&amp;L FY20'!H26</f>
        <v>33020</v>
      </c>
      <c r="E21" s="127"/>
    </row>
    <row r="22" spans="1:9" x14ac:dyDescent="0.3">
      <c r="A22" s="23" t="s">
        <v>20</v>
      </c>
      <c r="B22" s="2"/>
      <c r="C22" s="296">
        <f>+'P&amp;L FY20'!H27-3.75</f>
        <v>237015.06</v>
      </c>
      <c r="E22" s="127"/>
    </row>
    <row r="23" spans="1:9" ht="14.7" customHeight="1" x14ac:dyDescent="0.3">
      <c r="A23" s="23" t="s">
        <v>27</v>
      </c>
      <c r="B23" s="2">
        <v>5</v>
      </c>
      <c r="C23" s="296">
        <f>+'P&amp;L FY20'!H28</f>
        <v>24691.5</v>
      </c>
      <c r="E23" s="127"/>
      <c r="I23" s="322"/>
    </row>
    <row r="24" spans="1:9" x14ac:dyDescent="0.3">
      <c r="A24" s="23" t="s">
        <v>23</v>
      </c>
      <c r="B24" s="2">
        <v>6</v>
      </c>
      <c r="C24" s="296">
        <f>+'P&amp;L FY20'!H30</f>
        <v>22975</v>
      </c>
      <c r="E24" s="127"/>
    </row>
    <row r="25" spans="1:9" x14ac:dyDescent="0.3">
      <c r="A25" s="23" t="s">
        <v>32</v>
      </c>
      <c r="B25" s="2">
        <v>7</v>
      </c>
      <c r="C25" s="296">
        <f>+'FC-Final Cash'!$P$96+'FC-Final Cash'!$P$43</f>
        <v>135000</v>
      </c>
      <c r="E25" s="127"/>
    </row>
    <row r="26" spans="1:9" x14ac:dyDescent="0.3">
      <c r="A26" s="23" t="s">
        <v>21</v>
      </c>
      <c r="B26" s="2">
        <v>8</v>
      </c>
      <c r="C26" s="296">
        <f>+'P&amp;L FY20'!H32</f>
        <v>70000</v>
      </c>
      <c r="E26" s="127"/>
    </row>
    <row r="27" spans="1:9" x14ac:dyDescent="0.3">
      <c r="A27" s="23" t="s">
        <v>33</v>
      </c>
      <c r="B27" s="2">
        <v>9</v>
      </c>
      <c r="C27" s="296">
        <f>+'FC-Final Cash'!$P$95</f>
        <v>56738</v>
      </c>
    </row>
    <row r="28" spans="1:9" x14ac:dyDescent="0.3">
      <c r="A28" s="23" t="s">
        <v>34</v>
      </c>
      <c r="B28" s="2">
        <v>10</v>
      </c>
      <c r="C28" s="297">
        <f>+'FC-Final Cash'!$P$97</f>
        <v>546250</v>
      </c>
    </row>
    <row r="29" spans="1:9" ht="17.399999999999999" x14ac:dyDescent="0.55000000000000004">
      <c r="A29" s="309" t="s">
        <v>40</v>
      </c>
      <c r="B29" s="310"/>
      <c r="C29" s="311" t="e">
        <f>SUM(C16:C28)</f>
        <v>#REF!</v>
      </c>
    </row>
    <row r="30" spans="1:9" x14ac:dyDescent="0.3">
      <c r="A30" s="21"/>
      <c r="B30" s="2"/>
      <c r="C30" s="296"/>
      <c r="G30" s="127"/>
    </row>
    <row r="31" spans="1:9" ht="15" thickBot="1" x14ac:dyDescent="0.35">
      <c r="A31" s="309" t="s">
        <v>41</v>
      </c>
      <c r="B31" s="310"/>
      <c r="C31" s="312" t="e">
        <f>C13-C29</f>
        <v>#REF!</v>
      </c>
    </row>
    <row r="32" spans="1:9" ht="15" thickTop="1" x14ac:dyDescent="0.3">
      <c r="A32" s="21"/>
      <c r="B32" s="2"/>
      <c r="C32" s="296"/>
    </row>
    <row r="33" spans="1:9" hidden="1" x14ac:dyDescent="0.3">
      <c r="A33" s="89" t="s">
        <v>240</v>
      </c>
      <c r="B33" s="2"/>
      <c r="C33" s="296">
        <v>0</v>
      </c>
    </row>
    <row r="34" spans="1:9" hidden="1" x14ac:dyDescent="0.3">
      <c r="A34" s="21"/>
      <c r="B34" s="2"/>
      <c r="C34" s="296"/>
      <c r="I34" s="89"/>
    </row>
    <row r="35" spans="1:9" hidden="1" x14ac:dyDescent="0.3">
      <c r="A35" s="21"/>
      <c r="B35" s="2"/>
      <c r="C35" s="296">
        <v>0</v>
      </c>
      <c r="I35" s="89"/>
    </row>
    <row r="36" spans="1:9" hidden="1" x14ac:dyDescent="0.3">
      <c r="A36" s="21"/>
      <c r="B36" s="2"/>
      <c r="C36" s="296">
        <v>0</v>
      </c>
      <c r="I36" s="89"/>
    </row>
    <row r="37" spans="1:9" hidden="1" x14ac:dyDescent="0.3">
      <c r="A37" s="21"/>
      <c r="B37" s="2"/>
      <c r="C37" s="296">
        <v>0</v>
      </c>
    </row>
    <row r="38" spans="1:9" hidden="1" x14ac:dyDescent="0.3">
      <c r="A38" s="21"/>
      <c r="B38" s="2"/>
      <c r="C38" s="296"/>
    </row>
    <row r="39" spans="1:9" ht="15" hidden="1" thickBot="1" x14ac:dyDescent="0.35">
      <c r="A39" s="309" t="s">
        <v>41</v>
      </c>
      <c r="B39" s="310"/>
      <c r="C39" s="312" t="e">
        <f>C31-C33-C35-C36-C37</f>
        <v>#REF!</v>
      </c>
    </row>
    <row r="40" spans="1:9" ht="15" hidden="1" thickTop="1" x14ac:dyDescent="0.3">
      <c r="A40" s="21"/>
      <c r="B40" s="2"/>
      <c r="C40" s="296"/>
    </row>
  </sheetData>
  <mergeCells count="3">
    <mergeCell ref="A1:C1"/>
    <mergeCell ref="A2:C2"/>
    <mergeCell ref="A3:C3"/>
  </mergeCells>
  <pageMargins left="0.7" right="0.7" top="0.75" bottom="0.75" header="0.3" footer="0.3"/>
  <pageSetup orientation="portrait" r:id="rId1"/>
  <headerFooter>
    <oddFooter>&amp;L&amp;8&amp;Z&amp;F</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13"/>
  <sheetViews>
    <sheetView workbookViewId="0">
      <pane ySplit="3" topLeftCell="A69" activePane="bottomLeft" state="frozen"/>
      <selection pane="bottomLeft" activeCell="C41" sqref="C41"/>
    </sheetView>
  </sheetViews>
  <sheetFormatPr defaultColWidth="8.6640625" defaultRowHeight="11.4" x14ac:dyDescent="0.2"/>
  <cols>
    <col min="1" max="1" width="3.33203125" style="144" customWidth="1"/>
    <col min="2" max="2" width="7.5546875" style="145" customWidth="1"/>
    <col min="3" max="3" width="33.6640625" style="145" customWidth="1"/>
    <col min="4" max="4" width="12.33203125" style="139" hidden="1" customWidth="1"/>
    <col min="5" max="5" width="12" style="139" hidden="1" customWidth="1"/>
    <col min="6" max="6" width="14.33203125" style="139" hidden="1" customWidth="1"/>
    <col min="7" max="7" width="12" style="139" hidden="1" customWidth="1"/>
    <col min="8" max="8" width="12.5546875" style="139" hidden="1" customWidth="1"/>
    <col min="9" max="9" width="12.33203125" style="139" hidden="1" customWidth="1"/>
    <col min="10" max="10" width="12.5546875" style="139" hidden="1" customWidth="1"/>
    <col min="11" max="14" width="12" style="139" hidden="1" customWidth="1"/>
    <col min="15" max="15" width="12.6640625" style="139" hidden="1" customWidth="1"/>
    <col min="16" max="16" width="18.33203125" style="139" customWidth="1"/>
    <col min="17" max="17" width="14.33203125" style="139" hidden="1" customWidth="1"/>
    <col min="18" max="18" width="11" style="139" hidden="1" customWidth="1"/>
    <col min="19" max="19" width="13.5546875" style="139" hidden="1" customWidth="1"/>
    <col min="20" max="20" width="14.44140625" style="139" hidden="1" customWidth="1"/>
    <col min="21" max="21" width="17.6640625" style="139" customWidth="1"/>
    <col min="22" max="22" width="8.6640625" style="139"/>
    <col min="23" max="23" width="14.33203125" style="139" bestFit="1" customWidth="1"/>
    <col min="24" max="24" width="29.5546875" style="139" customWidth="1"/>
    <col min="25" max="16384" width="8.6640625" style="139"/>
  </cols>
  <sheetData>
    <row r="1" spans="1:24" ht="16.2" thickBot="1" x14ac:dyDescent="0.35">
      <c r="A1" s="148" t="s">
        <v>356</v>
      </c>
      <c r="B1" s="148"/>
      <c r="C1" s="148"/>
      <c r="D1" s="148"/>
      <c r="E1" s="148"/>
      <c r="F1" s="148"/>
      <c r="G1" s="148"/>
      <c r="H1" s="148"/>
      <c r="I1" s="148"/>
      <c r="J1" s="148"/>
      <c r="K1" s="148"/>
      <c r="L1" s="148"/>
      <c r="M1" s="148"/>
      <c r="N1" s="148"/>
      <c r="O1" s="148"/>
      <c r="P1" s="148"/>
      <c r="Q1" s="244" t="s">
        <v>252</v>
      </c>
      <c r="R1" s="245"/>
      <c r="S1" s="245"/>
      <c r="T1" s="246"/>
      <c r="U1" s="148"/>
    </row>
    <row r="3" spans="1:24" s="140" customFormat="1" ht="12" x14ac:dyDescent="0.25">
      <c r="B3" s="247" t="s">
        <v>253</v>
      </c>
      <c r="C3" s="247" t="s">
        <v>254</v>
      </c>
      <c r="D3" s="248" t="s">
        <v>45</v>
      </c>
      <c r="E3" s="248" t="s">
        <v>46</v>
      </c>
      <c r="F3" s="248" t="s">
        <v>47</v>
      </c>
      <c r="G3" s="248" t="s">
        <v>48</v>
      </c>
      <c r="H3" s="248" t="s">
        <v>49</v>
      </c>
      <c r="I3" s="248" t="s">
        <v>50</v>
      </c>
      <c r="J3" s="248" t="s">
        <v>51</v>
      </c>
      <c r="K3" s="248" t="s">
        <v>52</v>
      </c>
      <c r="L3" s="248" t="s">
        <v>53</v>
      </c>
      <c r="M3" s="248" t="s">
        <v>54</v>
      </c>
      <c r="N3" s="248" t="s">
        <v>55</v>
      </c>
      <c r="O3" s="248" t="s">
        <v>56</v>
      </c>
      <c r="P3" s="249" t="s">
        <v>7</v>
      </c>
      <c r="Q3" s="250" t="s">
        <v>255</v>
      </c>
      <c r="R3" s="250" t="s">
        <v>256</v>
      </c>
      <c r="S3" s="250" t="s">
        <v>257</v>
      </c>
      <c r="T3" s="250" t="s">
        <v>258</v>
      </c>
      <c r="U3" s="250" t="s">
        <v>259</v>
      </c>
      <c r="X3" s="146"/>
    </row>
    <row r="4" spans="1:24" ht="12" x14ac:dyDescent="0.25">
      <c r="A4" s="251"/>
      <c r="B4" s="252">
        <v>4010</v>
      </c>
      <c r="C4" s="252" t="s">
        <v>261</v>
      </c>
      <c r="D4" s="253">
        <f>IFERROR(VLOOKUP($B4,'[5]Budget Total-FY20 (P&amp;L)'!$B$4:$P$105,3,FALSE),0)</f>
        <v>10750</v>
      </c>
      <c r="E4" s="253">
        <f>IFERROR(VLOOKUP($B4,'[5]Budget Total-FY20 (P&amp;L)'!$B$4:$P$105,4,FALSE),0)</f>
        <v>10250</v>
      </c>
      <c r="F4" s="253">
        <f>IFERROR(VLOOKUP($B4,'[5]Budget Total-FY20 (P&amp;L)'!$B$4:$P$105,5,FALSE),0)</f>
        <v>21250</v>
      </c>
      <c r="G4" s="253">
        <f>IFERROR(VLOOKUP($B4,'[5]Budget Total-FY20 (P&amp;L)'!$B$4:$P$105,6,FALSE),0)</f>
        <v>12750</v>
      </c>
      <c r="H4" s="253">
        <f>IFERROR(VLOOKUP($B4,'[5]Budget Total-FY20 (P&amp;L)'!$B$4:$P$105,7,FALSE),0)</f>
        <v>27250</v>
      </c>
      <c r="I4" s="253">
        <f>IFERROR(VLOOKUP($B4,'[5]Budget Total-FY20 (P&amp;L)'!$B$4:$P$105,8,FALSE),0)</f>
        <v>62250</v>
      </c>
      <c r="J4" s="253">
        <f>IFERROR(VLOOKUP($B4,'[5]Budget Total-FY20 (P&amp;L)'!$B$4:$P$105,9,FALSE),0)</f>
        <v>22250</v>
      </c>
      <c r="K4" s="253">
        <f>IFERROR(VLOOKUP($B4,'[5]Budget Total-FY20 (P&amp;L)'!$B$4:$P$105,10,FALSE),0)</f>
        <v>21250</v>
      </c>
      <c r="L4" s="253">
        <f>IFERROR(VLOOKUP($B4,'[5]Budget Total-FY20 (P&amp;L)'!$B$4:$P$105,11,FALSE),0)</f>
        <v>11250</v>
      </c>
      <c r="M4" s="253">
        <f>IFERROR(VLOOKUP($B4,'[5]Budget Total-FY20 (P&amp;L)'!$B$4:$P$105,12,FALSE),0)</f>
        <v>9250</v>
      </c>
      <c r="N4" s="253">
        <f>IFERROR(VLOOKUP($B4,'[5]Budget Total-FY20 (P&amp;L)'!$B$4:$P$105,13,FALSE),0)</f>
        <v>8250</v>
      </c>
      <c r="O4" s="253">
        <f>IFERROR(VLOOKUP($B4,'[5]Budget Total-FY20 (P&amp;L)'!$B$4:$P$105,14,FALSE),0)</f>
        <v>8250</v>
      </c>
      <c r="P4" s="303">
        <f t="shared" ref="P4:P22" si="0">SUM(D4:O4)</f>
        <v>225000</v>
      </c>
      <c r="Q4" s="303">
        <f>+P4-'[2]Combined Summary-Proof'!$T$9</f>
        <v>0</v>
      </c>
      <c r="R4" s="304"/>
      <c r="S4" s="302">
        <f t="shared" ref="S4:S28" si="1">+P4+R4</f>
        <v>225000</v>
      </c>
      <c r="T4" s="303">
        <f>'[2]Combined Overview'!Y9</f>
        <v>194773.61</v>
      </c>
      <c r="U4" s="302">
        <f>'[2]Combined Overview'!Z9</f>
        <v>206000</v>
      </c>
      <c r="W4" s="256"/>
    </row>
    <row r="5" spans="1:24" ht="12" x14ac:dyDescent="0.25">
      <c r="A5" s="251"/>
      <c r="B5" s="252">
        <v>4020</v>
      </c>
      <c r="C5" s="252" t="s">
        <v>263</v>
      </c>
      <c r="D5" s="253">
        <f>IFERROR(VLOOKUP($B5,'[5]Budget Total-FY20 (P&amp;L)'!$B$4:$P$105,3,FALSE),0)</f>
        <v>10500</v>
      </c>
      <c r="E5" s="253">
        <f>IFERROR(VLOOKUP($B5,'[5]Budget Total-FY20 (P&amp;L)'!$B$4:$P$105,4,FALSE),0)</f>
        <v>500</v>
      </c>
      <c r="F5" s="253">
        <f>IFERROR(VLOOKUP($B5,'[5]Budget Total-FY20 (P&amp;L)'!$B$4:$P$105,5,FALSE),0)</f>
        <v>45500</v>
      </c>
      <c r="G5" s="253">
        <f>IFERROR(VLOOKUP($B5,'[5]Budget Total-FY20 (P&amp;L)'!$B$4:$P$105,6,FALSE),0)</f>
        <v>500</v>
      </c>
      <c r="H5" s="253">
        <f>IFERROR(VLOOKUP($B5,'[5]Budget Total-FY20 (P&amp;L)'!$B$4:$P$105,7,FALSE),0)</f>
        <v>500</v>
      </c>
      <c r="I5" s="253">
        <f>IFERROR(VLOOKUP($B5,'[5]Budget Total-FY20 (P&amp;L)'!$B$4:$P$105,8,FALSE),0)</f>
        <v>52500</v>
      </c>
      <c r="J5" s="257">
        <f>IFERROR(VLOOKUP($B5,'[5]Budget Total-FY20 (P&amp;L)'!$B$4:$P$105,9,FALSE),0)+37500</f>
        <v>38000</v>
      </c>
      <c r="K5" s="253">
        <f>IFERROR(VLOOKUP($B5,'[5]Budget Total-FY20 (P&amp;L)'!$B$4:$P$105,10,FALSE),0)</f>
        <v>500</v>
      </c>
      <c r="L5" s="253">
        <f>IFERROR(VLOOKUP($B5,'[5]Budget Total-FY20 (P&amp;L)'!$B$4:$P$105,11,FALSE),0)</f>
        <v>45500</v>
      </c>
      <c r="M5" s="253">
        <f>IFERROR(VLOOKUP($B5,'[5]Budget Total-FY20 (P&amp;L)'!$B$4:$P$105,12,FALSE),0)</f>
        <v>500</v>
      </c>
      <c r="N5" s="253">
        <f>IFERROR(VLOOKUP($B5,'[5]Budget Total-FY20 (P&amp;L)'!$B$4:$P$105,13,FALSE),0)</f>
        <v>500</v>
      </c>
      <c r="O5" s="253">
        <f>IFERROR(VLOOKUP($B5,'[5]Budget Total-FY20 (P&amp;L)'!$B$4:$P$105,14,FALSE),0)-37500</f>
        <v>83000</v>
      </c>
      <c r="P5" s="303">
        <f t="shared" si="0"/>
        <v>278000</v>
      </c>
      <c r="Q5" s="303">
        <f>+P5-'[2]Combined Summary-Proof'!$T$10</f>
        <v>0</v>
      </c>
      <c r="R5" s="304"/>
      <c r="S5" s="302">
        <f t="shared" si="1"/>
        <v>278000</v>
      </c>
      <c r="T5" s="303">
        <f>'[2]Combined Overview'!Y10</f>
        <v>80015.490000000005</v>
      </c>
      <c r="U5" s="302">
        <f>'[2]Combined Overview'!Z10</f>
        <v>175000</v>
      </c>
      <c r="W5" s="256"/>
    </row>
    <row r="6" spans="1:24" ht="11.7" customHeight="1" x14ac:dyDescent="0.25">
      <c r="A6" s="251"/>
      <c r="B6" s="252">
        <v>4030</v>
      </c>
      <c r="C6" s="252" t="s">
        <v>265</v>
      </c>
      <c r="D6" s="253">
        <f>IFERROR(VLOOKUP($B6,'[5]Budget Total-FY20 (P&amp;L)'!$B$4:$P$105,3,FALSE),0)</f>
        <v>1750</v>
      </c>
      <c r="E6" s="253">
        <f>IFERROR(VLOOKUP($B6,'[5]Budget Total-FY20 (P&amp;L)'!$B$4:$P$105,4,FALSE),0)</f>
        <v>250</v>
      </c>
      <c r="F6" s="253">
        <f>IFERROR(VLOOKUP($B6,'[5]Budget Total-FY20 (P&amp;L)'!$B$4:$P$105,5,FALSE),0)</f>
        <v>250</v>
      </c>
      <c r="G6" s="253">
        <f>IFERROR(VLOOKUP($B6,'[5]Budget Total-FY20 (P&amp;L)'!$B$4:$P$105,6,FALSE),0)</f>
        <v>1750</v>
      </c>
      <c r="H6" s="253">
        <f>IFERROR(VLOOKUP($B6,'[5]Budget Total-FY20 (P&amp;L)'!$B$4:$P$105,7,FALSE),0)</f>
        <v>250</v>
      </c>
      <c r="I6" s="253">
        <f>IFERROR(VLOOKUP($B6,'[5]Budget Total-FY20 (P&amp;L)'!$B$4:$P$105,8,FALSE),0)</f>
        <v>250</v>
      </c>
      <c r="J6" s="253">
        <f>IFERROR(VLOOKUP($B6,'[5]Budget Total-FY20 (P&amp;L)'!$B$4:$P$105,9,FALSE),0)</f>
        <v>1750</v>
      </c>
      <c r="K6" s="253">
        <f>IFERROR(VLOOKUP($B6,'[5]Budget Total-FY20 (P&amp;L)'!$B$4:$P$105,10,FALSE),0)</f>
        <v>250</v>
      </c>
      <c r="L6" s="253">
        <f>IFERROR(VLOOKUP($B6,'[5]Budget Total-FY20 (P&amp;L)'!$B$4:$P$105,11,FALSE),0)</f>
        <v>250</v>
      </c>
      <c r="M6" s="253">
        <f>IFERROR(VLOOKUP($B6,'[5]Budget Total-FY20 (P&amp;L)'!$B$4:$P$105,12,FALSE),0)</f>
        <v>1750</v>
      </c>
      <c r="N6" s="253">
        <f>IFERROR(VLOOKUP($B6,'[5]Budget Total-FY20 (P&amp;L)'!$B$4:$P$105,13,FALSE),0)</f>
        <v>250</v>
      </c>
      <c r="O6" s="253">
        <f>IFERROR(VLOOKUP($B6,'[5]Budget Total-FY20 (P&amp;L)'!$B$4:$P$105,14,FALSE),0)</f>
        <v>15250</v>
      </c>
      <c r="P6" s="303">
        <f t="shared" si="0"/>
        <v>24000</v>
      </c>
      <c r="Q6" s="303">
        <f>+P6-'[2]Combined Summary-Proof'!$T$11</f>
        <v>0</v>
      </c>
      <c r="R6" s="304"/>
      <c r="S6" s="302">
        <f t="shared" si="1"/>
        <v>24000</v>
      </c>
      <c r="T6" s="303">
        <f>'[2]Combined Overview'!Y11</f>
        <v>11959.33</v>
      </c>
      <c r="U6" s="302">
        <f>'[2]Combined Overview'!Z11</f>
        <v>41000</v>
      </c>
      <c r="W6" s="256"/>
    </row>
    <row r="7" spans="1:24" ht="11.7" customHeight="1" x14ac:dyDescent="0.25">
      <c r="A7" s="251"/>
      <c r="B7" s="252">
        <v>4035</v>
      </c>
      <c r="C7" s="252" t="s">
        <v>267</v>
      </c>
      <c r="D7" s="253">
        <f>IFERROR(VLOOKUP($B7,'[5]Budget Total-FY20 (P&amp;L)'!$B$4:$P$105,3,FALSE),0)</f>
        <v>1250</v>
      </c>
      <c r="E7" s="253">
        <f>IFERROR(VLOOKUP($B7,'[5]Budget Total-FY20 (P&amp;L)'!$B$4:$P$105,4,FALSE),0)</f>
        <v>1250</v>
      </c>
      <c r="F7" s="253">
        <f>IFERROR(VLOOKUP($B7,'[5]Budget Total-FY20 (P&amp;L)'!$B$4:$P$105,5,FALSE),0)</f>
        <v>1250</v>
      </c>
      <c r="G7" s="253">
        <f>IFERROR(VLOOKUP($B7,'[5]Budget Total-FY20 (P&amp;L)'!$B$4:$P$105,6,FALSE),0)</f>
        <v>1250</v>
      </c>
      <c r="H7" s="253">
        <f>IFERROR(VLOOKUP($B7,'[5]Budget Total-FY20 (P&amp;L)'!$B$4:$P$105,7,FALSE),0)</f>
        <v>1250</v>
      </c>
      <c r="I7" s="253">
        <f>IFERROR(VLOOKUP($B7,'[5]Budget Total-FY20 (P&amp;L)'!$B$4:$P$105,8,FALSE),0)</f>
        <v>1250</v>
      </c>
      <c r="J7" s="253">
        <f>IFERROR(VLOOKUP($B7,'[5]Budget Total-FY20 (P&amp;L)'!$B$4:$P$105,9,FALSE),0)</f>
        <v>1250</v>
      </c>
      <c r="K7" s="253">
        <f>IFERROR(VLOOKUP($B7,'[5]Budget Total-FY20 (P&amp;L)'!$B$4:$P$105,10,FALSE),0)</f>
        <v>1250</v>
      </c>
      <c r="L7" s="253">
        <f>IFERROR(VLOOKUP($B7,'[5]Budget Total-FY20 (P&amp;L)'!$B$4:$P$105,11,FALSE),0)</f>
        <v>1250</v>
      </c>
      <c r="M7" s="253">
        <f>IFERROR(VLOOKUP($B7,'[5]Budget Total-FY20 (P&amp;L)'!$B$4:$P$105,12,FALSE),0)</f>
        <v>1250</v>
      </c>
      <c r="N7" s="253">
        <f>IFERROR(VLOOKUP($B7,'[5]Budget Total-FY20 (P&amp;L)'!$B$4:$P$105,13,FALSE),0)</f>
        <v>1250</v>
      </c>
      <c r="O7" s="253">
        <f>IFERROR(VLOOKUP($B7,'[5]Budget Total-FY20 (P&amp;L)'!$B$4:$P$105,14,FALSE),0)</f>
        <v>1250</v>
      </c>
      <c r="P7" s="303">
        <f t="shared" si="0"/>
        <v>15000</v>
      </c>
      <c r="Q7" s="303">
        <f>+P7-'[2]Combined Summary-Proof'!$T$12</f>
        <v>0</v>
      </c>
      <c r="R7" s="304"/>
      <c r="S7" s="302">
        <f t="shared" si="1"/>
        <v>15000</v>
      </c>
      <c r="T7" s="303">
        <f>'[2]Combined Overview'!Y12</f>
        <v>11615.05</v>
      </c>
      <c r="U7" s="302">
        <f>'[2]Combined Overview'!Z12</f>
        <v>12000</v>
      </c>
      <c r="W7" s="256"/>
    </row>
    <row r="8" spans="1:24" ht="12" x14ac:dyDescent="0.25">
      <c r="A8" s="251"/>
      <c r="B8" s="252">
        <v>4050</v>
      </c>
      <c r="C8" s="252" t="s">
        <v>268</v>
      </c>
      <c r="D8" s="253">
        <f>IFERROR(VLOOKUP($B8,'[5]Budget Total-FY20 (P&amp;L)'!$B$4:$P$105,3,FALSE),0)</f>
        <v>306000</v>
      </c>
      <c r="E8" s="253">
        <f>IFERROR(VLOOKUP($B8,'[5]Budget Total-FY20 (P&amp;L)'!$B$4:$P$105,4,FALSE),0)</f>
        <v>0</v>
      </c>
      <c r="F8" s="253">
        <f>IFERROR(VLOOKUP($B8,'[5]Budget Total-FY20 (P&amp;L)'!$B$4:$P$105,5,FALSE),0)</f>
        <v>0</v>
      </c>
      <c r="G8" s="253">
        <f>IFERROR(VLOOKUP($B8,'[5]Budget Total-FY20 (P&amp;L)'!$B$4:$P$105,6,FALSE),0)</f>
        <v>0</v>
      </c>
      <c r="H8" s="253">
        <f>IFERROR(VLOOKUP($B8,'[5]Budget Total-FY20 (P&amp;L)'!$B$4:$P$105,7,FALSE),0)</f>
        <v>0</v>
      </c>
      <c r="I8" s="253">
        <f>IFERROR(VLOOKUP($B8,'[5]Budget Total-FY20 (P&amp;L)'!$B$4:$P$105,8,FALSE),0)</f>
        <v>0</v>
      </c>
      <c r="J8" s="253">
        <f>IFERROR(VLOOKUP($B8,'[5]Budget Total-FY20 (P&amp;L)'!$B$4:$P$105,9,FALSE),0)</f>
        <v>0</v>
      </c>
      <c r="K8" s="253">
        <f>IFERROR(VLOOKUP($B8,'[5]Budget Total-FY20 (P&amp;L)'!$B$4:$P$105,10,FALSE),0)</f>
        <v>0</v>
      </c>
      <c r="L8" s="253">
        <f>IFERROR(VLOOKUP($B8,'[5]Budget Total-FY20 (P&amp;L)'!$B$4:$P$105,11,FALSE),0)</f>
        <v>0</v>
      </c>
      <c r="M8" s="253">
        <f>IFERROR(VLOOKUP($B8,'[5]Budget Total-FY20 (P&amp;L)'!$B$4:$P$105,12,FALSE),0)</f>
        <v>0</v>
      </c>
      <c r="N8" s="253">
        <f>IFERROR(VLOOKUP($B8,'[5]Budget Total-FY20 (P&amp;L)'!$B$4:$P$105,13,FALSE),0)</f>
        <v>0</v>
      </c>
      <c r="O8" s="253">
        <f>IFERROR(VLOOKUP($B8,'[5]Budget Total-FY20 (P&amp;L)'!$B$4:$P$105,14,FALSE),0)</f>
        <v>0</v>
      </c>
      <c r="P8" s="303">
        <f t="shared" si="0"/>
        <v>306000</v>
      </c>
      <c r="Q8" s="303">
        <f>+P8-'[2]Combined Summary-Proof'!$T$15</f>
        <v>0</v>
      </c>
      <c r="R8" s="304"/>
      <c r="S8" s="302">
        <f t="shared" si="1"/>
        <v>306000</v>
      </c>
      <c r="T8" s="303">
        <f>'[2]Combined Overview'!Y15</f>
        <v>13092.04</v>
      </c>
      <c r="U8" s="302">
        <f>'[2]Combined Overview'!Z15</f>
        <v>300000</v>
      </c>
      <c r="W8" s="256"/>
    </row>
    <row r="9" spans="1:24" ht="11.7" customHeight="1" x14ac:dyDescent="0.25">
      <c r="A9" s="251"/>
      <c r="B9" s="252">
        <v>4055</v>
      </c>
      <c r="C9" s="252" t="s">
        <v>269</v>
      </c>
      <c r="D9" s="253">
        <f>IFERROR(VLOOKUP($B9,'[5]Budget Total-FY20 (P&amp;L)'!$B$4:$P$105,3,FALSE),0)</f>
        <v>5000</v>
      </c>
      <c r="E9" s="253">
        <f>IFERROR(VLOOKUP($B9,'[5]Budget Total-FY20 (P&amp;L)'!$B$4:$P$105,4,FALSE),0)</f>
        <v>0</v>
      </c>
      <c r="F9" s="253">
        <f>IFERROR(VLOOKUP($B9,'[5]Budget Total-FY20 (P&amp;L)'!$B$4:$P$105,5,FALSE),0)</f>
        <v>5000</v>
      </c>
      <c r="G9" s="253">
        <f>IFERROR(VLOOKUP($B9,'[5]Budget Total-FY20 (P&amp;L)'!$B$4:$P$105,6,FALSE),0)</f>
        <v>0</v>
      </c>
      <c r="H9" s="253">
        <f>IFERROR(VLOOKUP($B9,'[5]Budget Total-FY20 (P&amp;L)'!$B$4:$P$105,7,FALSE),0)</f>
        <v>0</v>
      </c>
      <c r="I9" s="253">
        <f>IFERROR(VLOOKUP($B9,'[5]Budget Total-FY20 (P&amp;L)'!$B$4:$P$105,8,FALSE),0)</f>
        <v>105000</v>
      </c>
      <c r="J9" s="253">
        <f>IFERROR(VLOOKUP($B9,'[5]Budget Total-FY20 (P&amp;L)'!$B$4:$P$105,9,FALSE),0)</f>
        <v>0</v>
      </c>
      <c r="K9" s="253">
        <f>IFERROR(VLOOKUP($B9,'[5]Budget Total-FY20 (P&amp;L)'!$B$4:$P$105,10,FALSE),0)</f>
        <v>0</v>
      </c>
      <c r="L9" s="253">
        <f>IFERROR(VLOOKUP($B9,'[5]Budget Total-FY20 (P&amp;L)'!$B$4:$P$105,11,FALSE),0)</f>
        <v>0</v>
      </c>
      <c r="M9" s="253">
        <f>IFERROR(VLOOKUP($B9,'[5]Budget Total-FY20 (P&amp;L)'!$B$4:$P$105,12,FALSE),0)</f>
        <v>0</v>
      </c>
      <c r="N9" s="253">
        <f>IFERROR(VLOOKUP($B9,'[5]Budget Total-FY20 (P&amp;L)'!$B$4:$P$105,13,FALSE),0)</f>
        <v>0</v>
      </c>
      <c r="O9" s="253">
        <f>IFERROR(VLOOKUP($B9,'[5]Budget Total-FY20 (P&amp;L)'!$B$4:$P$105,14,FALSE),0)</f>
        <v>0</v>
      </c>
      <c r="P9" s="303">
        <f t="shared" si="0"/>
        <v>115000</v>
      </c>
      <c r="Q9" s="303"/>
      <c r="R9" s="304"/>
      <c r="S9" s="302">
        <f t="shared" si="1"/>
        <v>115000</v>
      </c>
      <c r="T9" s="303" t="e">
        <f>'[2]Combined Overview'!Y16</f>
        <v>#REF!</v>
      </c>
      <c r="U9" s="302">
        <f>'[2]Combined Overview'!Z16</f>
        <v>26500</v>
      </c>
      <c r="W9" s="256"/>
    </row>
    <row r="10" spans="1:24" ht="12" x14ac:dyDescent="0.25">
      <c r="A10" s="251"/>
      <c r="B10" s="252">
        <v>4056</v>
      </c>
      <c r="C10" s="252" t="s">
        <v>270</v>
      </c>
      <c r="D10" s="253">
        <f>IFERROR(VLOOKUP($B10,'[5]Budget Total-FY20 (P&amp;L)'!$B$4:$P$105,3,FALSE),0)</f>
        <v>-500</v>
      </c>
      <c r="E10" s="253">
        <f>IFERROR(VLOOKUP($B10,'[5]Budget Total-FY20 (P&amp;L)'!$B$4:$P$105,4,FALSE),0)</f>
        <v>0</v>
      </c>
      <c r="F10" s="253">
        <f>IFERROR(VLOOKUP($B10,'[5]Budget Total-FY20 (P&amp;L)'!$B$4:$P$105,5,FALSE),0)</f>
        <v>0</v>
      </c>
      <c r="G10" s="253">
        <f>IFERROR(VLOOKUP($B10,'[5]Budget Total-FY20 (P&amp;L)'!$B$4:$P$105,6,FALSE),0)</f>
        <v>0</v>
      </c>
      <c r="H10" s="253">
        <f>IFERROR(VLOOKUP($B10,'[5]Budget Total-FY20 (P&amp;L)'!$B$4:$P$105,7,FALSE),0)</f>
        <v>0</v>
      </c>
      <c r="I10" s="253">
        <f>IFERROR(VLOOKUP($B10,'[5]Budget Total-FY20 (P&amp;L)'!$B$4:$P$105,8,FALSE),0)</f>
        <v>0</v>
      </c>
      <c r="J10" s="253">
        <f>IFERROR(VLOOKUP($B10,'[5]Budget Total-FY20 (P&amp;L)'!$B$4:$P$105,9,FALSE),0)</f>
        <v>0</v>
      </c>
      <c r="K10" s="253">
        <f>IFERROR(VLOOKUP($B10,'[5]Budget Total-FY20 (P&amp;L)'!$B$4:$P$105,10,FALSE),0)</f>
        <v>0</v>
      </c>
      <c r="L10" s="253">
        <f>IFERROR(VLOOKUP($B10,'[5]Budget Total-FY20 (P&amp;L)'!$B$4:$P$105,11,FALSE),0)</f>
        <v>0</v>
      </c>
      <c r="M10" s="253">
        <f>IFERROR(VLOOKUP($B10,'[5]Budget Total-FY20 (P&amp;L)'!$B$4:$P$105,12,FALSE),0)</f>
        <v>0</v>
      </c>
      <c r="N10" s="253">
        <f>IFERROR(VLOOKUP($B10,'[5]Budget Total-FY20 (P&amp;L)'!$B$4:$P$105,13,FALSE),0)</f>
        <v>0</v>
      </c>
      <c r="O10" s="253">
        <f>IFERROR(VLOOKUP($B10,'[5]Budget Total-FY20 (P&amp;L)'!$B$4:$P$105,14,FALSE),0)</f>
        <v>0</v>
      </c>
      <c r="P10" s="303">
        <f t="shared" si="0"/>
        <v>-500</v>
      </c>
      <c r="Q10" s="303">
        <f>+P10-'[2]Combined Summary-Proof'!$T$17</f>
        <v>0</v>
      </c>
      <c r="R10" s="304"/>
      <c r="S10" s="302">
        <f t="shared" si="1"/>
        <v>-500</v>
      </c>
      <c r="T10" s="303">
        <f>'[2]Combined Overview'!Y17</f>
        <v>-1650</v>
      </c>
      <c r="U10" s="302">
        <f>'[2]Combined Overview'!Z17</f>
        <v>-2000</v>
      </c>
      <c r="W10" s="256"/>
    </row>
    <row r="11" spans="1:24" ht="11.7" customHeight="1" x14ac:dyDescent="0.25">
      <c r="A11" s="251"/>
      <c r="B11" s="252">
        <v>4080</v>
      </c>
      <c r="C11" s="252" t="s">
        <v>271</v>
      </c>
      <c r="D11" s="253">
        <f>IFERROR(VLOOKUP($B11,'[5]Budget Total-FY20 (P&amp;L)'!$B$4:$P$105,3,FALSE),0)</f>
        <v>0</v>
      </c>
      <c r="E11" s="253">
        <f>IFERROR(VLOOKUP($B11,'[5]Budget Total-FY20 (P&amp;L)'!$B$4:$P$105,4,FALSE),0)</f>
        <v>0</v>
      </c>
      <c r="F11" s="253">
        <f>IFERROR(VLOOKUP($B11,'[5]Budget Total-FY20 (P&amp;L)'!$B$4:$P$105,5,FALSE),0)</f>
        <v>5000</v>
      </c>
      <c r="G11" s="253">
        <f>IFERROR(VLOOKUP($B11,'[5]Budget Total-FY20 (P&amp;L)'!$B$4:$P$105,6,FALSE),0)</f>
        <v>0</v>
      </c>
      <c r="H11" s="253">
        <f>IFERROR(VLOOKUP($B11,'[5]Budget Total-FY20 (P&amp;L)'!$B$4:$P$105,7,FALSE),0)</f>
        <v>0</v>
      </c>
      <c r="I11" s="253">
        <f>IFERROR(VLOOKUP($B11,'[5]Budget Total-FY20 (P&amp;L)'!$B$4:$P$105,8,FALSE),0)</f>
        <v>5000</v>
      </c>
      <c r="J11" s="253">
        <f>IFERROR(VLOOKUP($B11,'[5]Budget Total-FY20 (P&amp;L)'!$B$4:$P$105,9,FALSE),0)</f>
        <v>0</v>
      </c>
      <c r="K11" s="253">
        <f>IFERROR(VLOOKUP($B11,'[5]Budget Total-FY20 (P&amp;L)'!$B$4:$P$105,10,FALSE),0)</f>
        <v>0</v>
      </c>
      <c r="L11" s="253">
        <f>IFERROR(VLOOKUP($B11,'[5]Budget Total-FY20 (P&amp;L)'!$B$4:$P$105,11,FALSE),0)</f>
        <v>0</v>
      </c>
      <c r="M11" s="253">
        <f>IFERROR(VLOOKUP($B11,'[5]Budget Total-FY20 (P&amp;L)'!$B$4:$P$105,12,FALSE),0)</f>
        <v>15000</v>
      </c>
      <c r="N11" s="253">
        <f>IFERROR(VLOOKUP($B11,'[5]Budget Total-FY20 (P&amp;L)'!$B$4:$P$105,13,FALSE),0)</f>
        <v>0</v>
      </c>
      <c r="O11" s="253">
        <f>IFERROR(VLOOKUP($B11,'[5]Budget Total-FY20 (P&amp;L)'!$B$4:$P$105,14,FALSE),0)</f>
        <v>0</v>
      </c>
      <c r="P11" s="303">
        <f t="shared" si="0"/>
        <v>25000</v>
      </c>
      <c r="Q11" s="303">
        <f>+P11-'[2]Combined Summary-Proof'!$T$20</f>
        <v>0</v>
      </c>
      <c r="R11" s="304"/>
      <c r="S11" s="302">
        <f t="shared" si="1"/>
        <v>25000</v>
      </c>
      <c r="T11" s="303">
        <f>'[2]Combined Overview'!Y20</f>
        <v>5000</v>
      </c>
      <c r="U11" s="302">
        <f>'[2]Combined Overview'!Z20</f>
        <v>76500</v>
      </c>
      <c r="W11" s="256"/>
    </row>
    <row r="12" spans="1:24" ht="11.7" customHeight="1" x14ac:dyDescent="0.25">
      <c r="A12" s="251"/>
      <c r="B12" s="252">
        <v>4090</v>
      </c>
      <c r="C12" s="252" t="s">
        <v>272</v>
      </c>
      <c r="D12" s="253">
        <f>IFERROR(VLOOKUP($B12,'[5]Budget Total-FY20 (P&amp;L)'!$B$4:$P$105,3,FALSE),0)</f>
        <v>0</v>
      </c>
      <c r="E12" s="253">
        <f>IFERROR(VLOOKUP($B12,'[5]Budget Total-FY20 (P&amp;L)'!$B$4:$P$105,4,FALSE),0)</f>
        <v>0</v>
      </c>
      <c r="F12" s="253">
        <f>IFERROR(VLOOKUP($B12,'[5]Budget Total-FY20 (P&amp;L)'!$B$4:$P$105,5,FALSE),0)</f>
        <v>15000</v>
      </c>
      <c r="G12" s="253">
        <f>IFERROR(VLOOKUP($B12,'[5]Budget Total-FY20 (P&amp;L)'!$B$4:$P$105,6,FALSE),0)</f>
        <v>15000</v>
      </c>
      <c r="H12" s="253">
        <f>IFERROR(VLOOKUP($B12,'[5]Budget Total-FY20 (P&amp;L)'!$B$4:$P$105,7,FALSE),0)</f>
        <v>0</v>
      </c>
      <c r="I12" s="253">
        <f>IFERROR(VLOOKUP($B12,'[5]Budget Total-FY20 (P&amp;L)'!$B$4:$P$105,8,FALSE),0)</f>
        <v>0</v>
      </c>
      <c r="J12" s="253">
        <f>IFERROR(VLOOKUP($B12,'[5]Budget Total-FY20 (P&amp;L)'!$B$4:$P$105,9,FALSE),0)</f>
        <v>5000</v>
      </c>
      <c r="K12" s="253">
        <f>IFERROR(VLOOKUP($B12,'[5]Budget Total-FY20 (P&amp;L)'!$B$4:$P$105,10,FALSE),0)</f>
        <v>0</v>
      </c>
      <c r="L12" s="253">
        <f>IFERROR(VLOOKUP($B12,'[5]Budget Total-FY20 (P&amp;L)'!$B$4:$P$105,11,FALSE),0)</f>
        <v>0</v>
      </c>
      <c r="M12" s="253">
        <f>IFERROR(VLOOKUP($B12,'[5]Budget Total-FY20 (P&amp;L)'!$B$4:$P$105,12,FALSE),0)</f>
        <v>0</v>
      </c>
      <c r="N12" s="253">
        <f>IFERROR(VLOOKUP($B12,'[5]Budget Total-FY20 (P&amp;L)'!$B$4:$P$105,13,FALSE),0)</f>
        <v>0</v>
      </c>
      <c r="O12" s="253">
        <f>IFERROR(VLOOKUP($B12,'[5]Budget Total-FY20 (P&amp;L)'!$B$4:$P$105,14,FALSE),0)</f>
        <v>20000</v>
      </c>
      <c r="P12" s="303">
        <f t="shared" si="0"/>
        <v>55000</v>
      </c>
      <c r="Q12" s="303">
        <f>+P12-'[2]Combined Summary-Proof'!$T$21</f>
        <v>0</v>
      </c>
      <c r="R12" s="304"/>
      <c r="S12" s="302">
        <f t="shared" si="1"/>
        <v>55000</v>
      </c>
      <c r="T12" s="303">
        <f>'[2]Combined Overview'!Y21</f>
        <v>10000</v>
      </c>
      <c r="U12" s="302">
        <f>'[2]Combined Overview'!Z21</f>
        <v>30000</v>
      </c>
      <c r="W12" s="256"/>
    </row>
    <row r="13" spans="1:24" ht="11.7" customHeight="1" x14ac:dyDescent="0.25">
      <c r="A13" s="251"/>
      <c r="B13" s="252">
        <v>4410</v>
      </c>
      <c r="C13" s="252" t="s">
        <v>277</v>
      </c>
      <c r="D13" s="253">
        <f>IFERROR(VLOOKUP($B13,'[5]Budget Total-FY20 (P&amp;L)'!$B$4:$P$105,3,FALSE),0)</f>
        <v>158375</v>
      </c>
      <c r="E13" s="253">
        <f>IFERROR(VLOOKUP($B13,'[5]Budget Total-FY20 (P&amp;L)'!$B$4:$P$105,4,FALSE),0)</f>
        <v>158375</v>
      </c>
      <c r="F13" s="253">
        <f>IFERROR(VLOOKUP($B13,'[5]Budget Total-FY20 (P&amp;L)'!$B$4:$P$105,5,FALSE),0)</f>
        <v>158375</v>
      </c>
      <c r="G13" s="253">
        <f>IFERROR(VLOOKUP($B13,'[5]Budget Total-FY20 (P&amp;L)'!$B$4:$P$105,6,FALSE),0)</f>
        <v>158375</v>
      </c>
      <c r="H13" s="253">
        <f>IFERROR(VLOOKUP($B13,'[5]Budget Total-FY20 (P&amp;L)'!$B$4:$P$105,7,FALSE),0)</f>
        <v>158375</v>
      </c>
      <c r="I13" s="253">
        <f>IFERROR(VLOOKUP($B13,'[5]Budget Total-FY20 (P&amp;L)'!$B$4:$P$105,8,FALSE),0)</f>
        <v>158375</v>
      </c>
      <c r="J13" s="253">
        <f>IFERROR(VLOOKUP($B13,'[5]Budget Total-FY20 (P&amp;L)'!$B$4:$P$105,9,FALSE),0)</f>
        <v>158375</v>
      </c>
      <c r="K13" s="253">
        <f>IFERROR(VLOOKUP($B13,'[5]Budget Total-FY20 (P&amp;L)'!$B$4:$P$105,10,FALSE),0)</f>
        <v>158375</v>
      </c>
      <c r="L13" s="253">
        <f>IFERROR(VLOOKUP($B13,'[5]Budget Total-FY20 (P&amp;L)'!$B$4:$P$105,11,FALSE),0)</f>
        <v>158375</v>
      </c>
      <c r="M13" s="253">
        <f>IFERROR(VLOOKUP($B13,'[5]Budget Total-FY20 (P&amp;L)'!$B$4:$P$105,12,FALSE),0)</f>
        <v>158375</v>
      </c>
      <c r="N13" s="253">
        <f>IFERROR(VLOOKUP($B13,'[5]Budget Total-FY20 (P&amp;L)'!$B$4:$P$105,13,FALSE),0)</f>
        <v>158375</v>
      </c>
      <c r="O13" s="253">
        <f>IFERROR(VLOOKUP($B13,'[5]Budget Total-FY20 (P&amp;L)'!$B$4:$P$105,14,FALSE),0)</f>
        <v>158375</v>
      </c>
      <c r="P13" s="303">
        <f t="shared" si="0"/>
        <v>1900500</v>
      </c>
      <c r="Q13" s="303">
        <f>+P13-'[2]Combined Summary-Proof'!$T$36</f>
        <v>0</v>
      </c>
      <c r="R13" s="304"/>
      <c r="S13" s="302">
        <f t="shared" si="1"/>
        <v>1900500</v>
      </c>
      <c r="T13" s="303">
        <f>'[2]Combined Overview'!Y36</f>
        <v>1390928.6700000002</v>
      </c>
      <c r="U13" s="302">
        <f>'[2]Combined Overview'!Z36</f>
        <v>1810000</v>
      </c>
      <c r="W13" s="256"/>
    </row>
    <row r="14" spans="1:24" ht="11.7" customHeight="1" x14ac:dyDescent="0.25">
      <c r="A14" s="251"/>
      <c r="B14" s="252">
        <v>4451</v>
      </c>
      <c r="C14" s="252" t="s">
        <v>280</v>
      </c>
      <c r="D14" s="253">
        <f>IFERROR(VLOOKUP($B14,'[5]Budget Total-FY20 (P&amp;L)'!$B$4:$P$105,3,FALSE),0)</f>
        <v>1000</v>
      </c>
      <c r="E14" s="253">
        <f>IFERROR(VLOOKUP($B14,'[5]Budget Total-FY20 (P&amp;L)'!$B$4:$P$105,4,FALSE),0)</f>
        <v>1000</v>
      </c>
      <c r="F14" s="253">
        <f>IFERROR(VLOOKUP($B14,'[5]Budget Total-FY20 (P&amp;L)'!$B$4:$P$105,5,FALSE),0)</f>
        <v>1000</v>
      </c>
      <c r="G14" s="253">
        <f>IFERROR(VLOOKUP($B14,'[5]Budget Total-FY20 (P&amp;L)'!$B$4:$P$105,6,FALSE),0)</f>
        <v>1000</v>
      </c>
      <c r="H14" s="253">
        <f>IFERROR(VLOOKUP($B14,'[5]Budget Total-FY20 (P&amp;L)'!$B$4:$P$105,7,FALSE),0)</f>
        <v>1000</v>
      </c>
      <c r="I14" s="253">
        <f>IFERROR(VLOOKUP($B14,'[5]Budget Total-FY20 (P&amp;L)'!$B$4:$P$105,8,FALSE),0)</f>
        <v>1000</v>
      </c>
      <c r="J14" s="253">
        <f>IFERROR(VLOOKUP($B14,'[5]Budget Total-FY20 (P&amp;L)'!$B$4:$P$105,9,FALSE),0)</f>
        <v>1000</v>
      </c>
      <c r="K14" s="253">
        <f>IFERROR(VLOOKUP($B14,'[5]Budget Total-FY20 (P&amp;L)'!$B$4:$P$105,10,FALSE),0)</f>
        <v>1000</v>
      </c>
      <c r="L14" s="253">
        <f>IFERROR(VLOOKUP($B14,'[5]Budget Total-FY20 (P&amp;L)'!$B$4:$P$105,11,FALSE),0)</f>
        <v>1000</v>
      </c>
      <c r="M14" s="253">
        <f>IFERROR(VLOOKUP($B14,'[5]Budget Total-FY20 (P&amp;L)'!$B$4:$P$105,12,FALSE),0)</f>
        <v>1000</v>
      </c>
      <c r="N14" s="253">
        <f>IFERROR(VLOOKUP($B14,'[5]Budget Total-FY20 (P&amp;L)'!$B$4:$P$105,13,FALSE),0)</f>
        <v>1000</v>
      </c>
      <c r="O14" s="253">
        <f>IFERROR(VLOOKUP($B14,'[5]Budget Total-FY20 (P&amp;L)'!$B$4:$P$105,14,FALSE),0)</f>
        <v>1000</v>
      </c>
      <c r="P14" s="303">
        <f t="shared" si="0"/>
        <v>12000</v>
      </c>
      <c r="Q14" s="303">
        <f>+P14-'[2]Combined Summary-Proof'!$T$38</f>
        <v>0</v>
      </c>
      <c r="R14" s="304"/>
      <c r="S14" s="302">
        <f t="shared" si="1"/>
        <v>12000</v>
      </c>
      <c r="T14" s="303">
        <f>'[2]Combined Overview'!Y38</f>
        <v>7764.04</v>
      </c>
      <c r="U14" s="302">
        <f>'[2]Combined Overview'!Z38</f>
        <v>9600</v>
      </c>
      <c r="W14" s="256"/>
      <c r="X14" s="258"/>
    </row>
    <row r="15" spans="1:24" ht="11.7" customHeight="1" x14ac:dyDescent="0.25">
      <c r="A15" s="251"/>
      <c r="B15" s="252">
        <v>4520</v>
      </c>
      <c r="C15" s="252" t="s">
        <v>281</v>
      </c>
      <c r="D15" s="253">
        <f>IFERROR(VLOOKUP($B15,'[5]Budget Total-FY20 (P&amp;L)'!$B$4:$P$105,3,FALSE),0)</f>
        <v>3625</v>
      </c>
      <c r="E15" s="253">
        <f>IFERROR(VLOOKUP($B15,'[5]Budget Total-FY20 (P&amp;L)'!$B$4:$P$105,4,FALSE),0)</f>
        <v>3625</v>
      </c>
      <c r="F15" s="253">
        <f>IFERROR(VLOOKUP($B15,'[5]Budget Total-FY20 (P&amp;L)'!$B$4:$P$105,5,FALSE),0)</f>
        <v>3625</v>
      </c>
      <c r="G15" s="253">
        <f>IFERROR(VLOOKUP($B15,'[5]Budget Total-FY20 (P&amp;L)'!$B$4:$P$105,6,FALSE),0)</f>
        <v>3625</v>
      </c>
      <c r="H15" s="253">
        <f>IFERROR(VLOOKUP($B15,'[5]Budget Total-FY20 (P&amp;L)'!$B$4:$P$105,7,FALSE),0)</f>
        <v>3625</v>
      </c>
      <c r="I15" s="253">
        <f>IFERROR(VLOOKUP($B15,'[5]Budget Total-FY20 (P&amp;L)'!$B$4:$P$105,8,FALSE),0)</f>
        <v>3625</v>
      </c>
      <c r="J15" s="253">
        <f>IFERROR(VLOOKUP($B15,'[5]Budget Total-FY20 (P&amp;L)'!$B$4:$P$105,9,FALSE),0)</f>
        <v>3625</v>
      </c>
      <c r="K15" s="253">
        <f>IFERROR(VLOOKUP($B15,'[5]Budget Total-FY20 (P&amp;L)'!$B$4:$P$105,10,FALSE),0)</f>
        <v>3625</v>
      </c>
      <c r="L15" s="253">
        <f>IFERROR(VLOOKUP($B15,'[5]Budget Total-FY20 (P&amp;L)'!$B$4:$P$105,11,FALSE),0)</f>
        <v>3625</v>
      </c>
      <c r="M15" s="253">
        <f>IFERROR(VLOOKUP($B15,'[5]Budget Total-FY20 (P&amp;L)'!$B$4:$P$105,12,FALSE),0)</f>
        <v>3625</v>
      </c>
      <c r="N15" s="253">
        <f>IFERROR(VLOOKUP($B15,'[5]Budget Total-FY20 (P&amp;L)'!$B$4:$P$105,13,FALSE),0)</f>
        <v>3625</v>
      </c>
      <c r="O15" s="253">
        <f>IFERROR(VLOOKUP($B15,'[5]Budget Total-FY20 (P&amp;L)'!$B$4:$P$105,14,FALSE),0)</f>
        <v>3625</v>
      </c>
      <c r="P15" s="303">
        <f t="shared" si="0"/>
        <v>43500</v>
      </c>
      <c r="Q15" s="303">
        <f>+P15-'[2]Combined Summary-Proof'!$T$39</f>
        <v>0</v>
      </c>
      <c r="R15" s="304"/>
      <c r="S15" s="302">
        <f t="shared" si="1"/>
        <v>43500</v>
      </c>
      <c r="T15" s="303">
        <f>'[2]Combined Overview'!Y39</f>
        <v>30008.38</v>
      </c>
      <c r="U15" s="302">
        <f>'[2]Combined Overview'!Z39</f>
        <v>41750</v>
      </c>
      <c r="W15" s="256"/>
      <c r="X15" s="258"/>
    </row>
    <row r="16" spans="1:24" ht="11.7" customHeight="1" x14ac:dyDescent="0.25">
      <c r="A16" s="251"/>
      <c r="B16" s="252">
        <v>4530</v>
      </c>
      <c r="C16" s="252" t="s">
        <v>284</v>
      </c>
      <c r="D16" s="253">
        <f>IFERROR(VLOOKUP($B16,'[5]Budget Total-FY20 (P&amp;L)'!$B$4:$P$105,3,FALSE),0)</f>
        <v>0</v>
      </c>
      <c r="E16" s="253">
        <f>IFERROR(VLOOKUP($B16,'[5]Budget Total-FY20 (P&amp;L)'!$B$4:$P$105,4,FALSE),0)</f>
        <v>0</v>
      </c>
      <c r="F16" s="253">
        <f>IFERROR(VLOOKUP($B16,'[5]Budget Total-FY20 (P&amp;L)'!$B$4:$P$105,5,FALSE),0)</f>
        <v>0</v>
      </c>
      <c r="G16" s="253">
        <f>IFERROR(VLOOKUP($B16,'[5]Budget Total-FY20 (P&amp;L)'!$B$4:$P$105,6,FALSE),0)</f>
        <v>0</v>
      </c>
      <c r="H16" s="253">
        <f>IFERROR(VLOOKUP($B16,'[5]Budget Total-FY20 (P&amp;L)'!$B$4:$P$105,7,FALSE),0)</f>
        <v>0</v>
      </c>
      <c r="I16" s="253">
        <f>IFERROR(VLOOKUP($B16,'[5]Budget Total-FY20 (P&amp;L)'!$B$4:$P$105,8,FALSE),0)</f>
        <v>0</v>
      </c>
      <c r="J16" s="253">
        <f>IFERROR(VLOOKUP($B16,'[5]Budget Total-FY20 (P&amp;L)'!$B$4:$P$105,9,FALSE),0)</f>
        <v>1050</v>
      </c>
      <c r="K16" s="253">
        <f>IFERROR(VLOOKUP($B16,'[5]Budget Total-FY20 (P&amp;L)'!$B$4:$P$105,10,FALSE),0)</f>
        <v>0</v>
      </c>
      <c r="L16" s="253">
        <f>IFERROR(VLOOKUP($B16,'[5]Budget Total-FY20 (P&amp;L)'!$B$4:$P$105,11,FALSE),0)</f>
        <v>0</v>
      </c>
      <c r="M16" s="253">
        <f>IFERROR(VLOOKUP($B16,'[5]Budget Total-FY20 (P&amp;L)'!$B$4:$P$105,12,FALSE),0)</f>
        <v>0</v>
      </c>
      <c r="N16" s="253">
        <f>IFERROR(VLOOKUP($B16,'[5]Budget Total-FY20 (P&amp;L)'!$B$4:$P$105,13,FALSE),0)</f>
        <v>0</v>
      </c>
      <c r="O16" s="253">
        <f>IFERROR(VLOOKUP($B16,'[5]Budget Total-FY20 (P&amp;L)'!$B$4:$P$105,14,FALSE),0)</f>
        <v>0</v>
      </c>
      <c r="P16" s="303">
        <f t="shared" si="0"/>
        <v>1050</v>
      </c>
      <c r="Q16" s="303">
        <f>+P16-'[2]Combined Summary-Proof'!$T$44</f>
        <v>0</v>
      </c>
      <c r="R16" s="304"/>
      <c r="S16" s="302">
        <f t="shared" si="1"/>
        <v>1050</v>
      </c>
      <c r="T16" s="303">
        <f>'[2]Combined Overview'!Y44</f>
        <v>1332</v>
      </c>
      <c r="U16" s="302">
        <f>'[2]Combined Overview'!Z44</f>
        <v>3150</v>
      </c>
      <c r="W16" s="256"/>
      <c r="X16" s="258"/>
    </row>
    <row r="17" spans="1:24" ht="11.7" customHeight="1" x14ac:dyDescent="0.25">
      <c r="A17" s="251"/>
      <c r="B17" s="252">
        <v>4550</v>
      </c>
      <c r="C17" s="252" t="s">
        <v>285</v>
      </c>
      <c r="D17" s="253">
        <f>IFERROR(VLOOKUP($B17,'[5]Budget Total-FY20 (P&amp;L)'!$B$4:$P$105,3,FALSE),0)</f>
        <v>70</v>
      </c>
      <c r="E17" s="253">
        <f>IFERROR(VLOOKUP($B17,'[5]Budget Total-FY20 (P&amp;L)'!$B$4:$P$105,4,FALSE),0)</f>
        <v>70</v>
      </c>
      <c r="F17" s="253">
        <f>IFERROR(VLOOKUP($B17,'[5]Budget Total-FY20 (P&amp;L)'!$B$4:$P$105,5,FALSE),0)</f>
        <v>70</v>
      </c>
      <c r="G17" s="253">
        <f>IFERROR(VLOOKUP($B17,'[5]Budget Total-FY20 (P&amp;L)'!$B$4:$P$105,6,FALSE),0)</f>
        <v>70</v>
      </c>
      <c r="H17" s="253">
        <f>IFERROR(VLOOKUP($B17,'[5]Budget Total-FY20 (P&amp;L)'!$B$4:$P$105,7,FALSE),0)</f>
        <v>70</v>
      </c>
      <c r="I17" s="253">
        <f>IFERROR(VLOOKUP($B17,'[5]Budget Total-FY20 (P&amp;L)'!$B$4:$P$105,8,FALSE),0)</f>
        <v>70</v>
      </c>
      <c r="J17" s="253">
        <f>IFERROR(VLOOKUP($B17,'[5]Budget Total-FY20 (P&amp;L)'!$B$4:$P$105,9,FALSE),0)</f>
        <v>70</v>
      </c>
      <c r="K17" s="253">
        <f>IFERROR(VLOOKUP($B17,'[5]Budget Total-FY20 (P&amp;L)'!$B$4:$P$105,10,FALSE),0)</f>
        <v>70</v>
      </c>
      <c r="L17" s="253">
        <f>IFERROR(VLOOKUP($B17,'[5]Budget Total-FY20 (P&amp;L)'!$B$4:$P$105,11,FALSE),0)</f>
        <v>70</v>
      </c>
      <c r="M17" s="253">
        <f>IFERROR(VLOOKUP($B17,'[5]Budget Total-FY20 (P&amp;L)'!$B$4:$P$105,12,FALSE),0)</f>
        <v>70</v>
      </c>
      <c r="N17" s="253">
        <f>IFERROR(VLOOKUP($B17,'[5]Budget Total-FY20 (P&amp;L)'!$B$4:$P$105,13,FALSE),0)</f>
        <v>70</v>
      </c>
      <c r="O17" s="253">
        <f>IFERROR(VLOOKUP($B17,'[5]Budget Total-FY20 (P&amp;L)'!$B$4:$P$105,14,FALSE),0)</f>
        <v>70</v>
      </c>
      <c r="P17" s="303">
        <f t="shared" si="0"/>
        <v>840</v>
      </c>
      <c r="Q17" s="303">
        <f>+P17-'[2]Combined Summary-Proof'!$T$45</f>
        <v>0</v>
      </c>
      <c r="R17" s="304"/>
      <c r="S17" s="302">
        <f t="shared" si="1"/>
        <v>840</v>
      </c>
      <c r="T17" s="303">
        <f>'[2]Combined Overview'!Y47</f>
        <v>575.88</v>
      </c>
      <c r="U17" s="302">
        <f>'[2]Combined Overview'!Z47</f>
        <v>840</v>
      </c>
      <c r="W17" s="256"/>
      <c r="X17" s="258"/>
    </row>
    <row r="18" spans="1:24" ht="11.7" customHeight="1" x14ac:dyDescent="0.25">
      <c r="A18" s="251"/>
      <c r="B18" s="252" t="s">
        <v>286</v>
      </c>
      <c r="C18" s="252" t="s">
        <v>287</v>
      </c>
      <c r="D18" s="253">
        <f>IFERROR(VLOOKUP($B18,'[5]Budget Total-FY20 (P&amp;L)'!$B$4:$P$105,3,FALSE),0)</f>
        <v>1666.6666666666667</v>
      </c>
      <c r="E18" s="253">
        <f>IFERROR(VLOOKUP($B18,'[5]Budget Total-FY20 (P&amp;L)'!$B$4:$P$105,4,FALSE),0)</f>
        <v>1666.6666666666667</v>
      </c>
      <c r="F18" s="253">
        <f>IFERROR(VLOOKUP($B18,'[5]Budget Total-FY20 (P&amp;L)'!$B$4:$P$105,5,FALSE),0)</f>
        <v>1666.6666666666667</v>
      </c>
      <c r="G18" s="253">
        <f>IFERROR(VLOOKUP($B18,'[5]Budget Total-FY20 (P&amp;L)'!$B$4:$P$105,6,FALSE),0)</f>
        <v>1666.6666666666667</v>
      </c>
      <c r="H18" s="253">
        <f>IFERROR(VLOOKUP($B18,'[5]Budget Total-FY20 (P&amp;L)'!$B$4:$P$105,7,FALSE),0)</f>
        <v>1666.6666666666667</v>
      </c>
      <c r="I18" s="253">
        <f>IFERROR(VLOOKUP($B18,'[5]Budget Total-FY20 (P&amp;L)'!$B$4:$P$105,8,FALSE),0)</f>
        <v>1666.6666666666667</v>
      </c>
      <c r="J18" s="253">
        <f>IFERROR(VLOOKUP($B18,'[5]Budget Total-FY20 (P&amp;L)'!$B$4:$P$105,9,FALSE),0)</f>
        <v>1666.6666666666667</v>
      </c>
      <c r="K18" s="253">
        <f>IFERROR(VLOOKUP($B18,'[5]Budget Total-FY20 (P&amp;L)'!$B$4:$P$105,10,FALSE),0)</f>
        <v>1666.6666666666667</v>
      </c>
      <c r="L18" s="253">
        <f>IFERROR(VLOOKUP($B18,'[5]Budget Total-FY20 (P&amp;L)'!$B$4:$P$105,11,FALSE),0)</f>
        <v>1666.6666666666667</v>
      </c>
      <c r="M18" s="253">
        <f>IFERROR(VLOOKUP($B18,'[5]Budget Total-FY20 (P&amp;L)'!$B$4:$P$105,12,FALSE),0)</f>
        <v>1666.6666666666667</v>
      </c>
      <c r="N18" s="253">
        <f>IFERROR(VLOOKUP($B18,'[5]Budget Total-FY20 (P&amp;L)'!$B$4:$P$105,13,FALSE),0)</f>
        <v>1666.6666666666667</v>
      </c>
      <c r="O18" s="253">
        <f>IFERROR(VLOOKUP($B18,'[5]Budget Total-FY20 (P&amp;L)'!$B$4:$P$105,14,FALSE),0)</f>
        <v>1666.6666666666667</v>
      </c>
      <c r="P18" s="303">
        <f t="shared" si="0"/>
        <v>20000</v>
      </c>
      <c r="Q18" s="303">
        <f>+P18-'[2]Combined Overview'!$U$50</f>
        <v>0</v>
      </c>
      <c r="R18" s="304"/>
      <c r="S18" s="302">
        <f t="shared" si="1"/>
        <v>20000</v>
      </c>
      <c r="T18" s="303">
        <f>+'[2]Combined Overview'!$Y$50</f>
        <v>25162.720000000001</v>
      </c>
      <c r="U18" s="302">
        <v>0</v>
      </c>
      <c r="W18" s="256"/>
      <c r="X18" s="258"/>
    </row>
    <row r="19" spans="1:24" ht="11.7" customHeight="1" x14ac:dyDescent="0.25">
      <c r="A19" s="251"/>
      <c r="B19" s="252">
        <v>4615</v>
      </c>
      <c r="C19" s="252" t="s">
        <v>288</v>
      </c>
      <c r="D19" s="253">
        <f>IFERROR(VLOOKUP($B19,'[5]Budget Total-FY20 (P&amp;L)'!$B$4:$P$105,3,FALSE),0)</f>
        <v>1083.3333333333333</v>
      </c>
      <c r="E19" s="253">
        <f>IFERROR(VLOOKUP($B19,'[5]Budget Total-FY20 (P&amp;L)'!$B$4:$P$105,4,FALSE),0)</f>
        <v>1083.3333333333333</v>
      </c>
      <c r="F19" s="253">
        <f>IFERROR(VLOOKUP($B19,'[5]Budget Total-FY20 (P&amp;L)'!$B$4:$P$105,5,FALSE),0)</f>
        <v>1083.3333333333333</v>
      </c>
      <c r="G19" s="253">
        <f>IFERROR(VLOOKUP($B19,'[5]Budget Total-FY20 (P&amp;L)'!$B$4:$P$105,6,FALSE),0)</f>
        <v>1083.3333333333333</v>
      </c>
      <c r="H19" s="253">
        <f>IFERROR(VLOOKUP($B19,'[5]Budget Total-FY20 (P&amp;L)'!$B$4:$P$105,7,FALSE),0)</f>
        <v>1083.3333333333333</v>
      </c>
      <c r="I19" s="253">
        <f>IFERROR(VLOOKUP($B19,'[5]Budget Total-FY20 (P&amp;L)'!$B$4:$P$105,8,FALSE),0)</f>
        <v>1083.3333333333333</v>
      </c>
      <c r="J19" s="253">
        <f>IFERROR(VLOOKUP($B19,'[5]Budget Total-FY20 (P&amp;L)'!$B$4:$P$105,9,FALSE),0)</f>
        <v>1083.3333333333333</v>
      </c>
      <c r="K19" s="253">
        <f>IFERROR(VLOOKUP($B19,'[5]Budget Total-FY20 (P&amp;L)'!$B$4:$P$105,10,FALSE),0)</f>
        <v>1083.3333333333333</v>
      </c>
      <c r="L19" s="253">
        <f>IFERROR(VLOOKUP($B19,'[5]Budget Total-FY20 (P&amp;L)'!$B$4:$P$105,11,FALSE),0)</f>
        <v>1083.3333333333333</v>
      </c>
      <c r="M19" s="253">
        <f>IFERROR(VLOOKUP($B19,'[5]Budget Total-FY20 (P&amp;L)'!$B$4:$P$105,12,FALSE),0)</f>
        <v>1083.3333333333333</v>
      </c>
      <c r="N19" s="253">
        <f>IFERROR(VLOOKUP($B19,'[5]Budget Total-FY20 (P&amp;L)'!$B$4:$P$105,13,FALSE),0)</f>
        <v>1083.3333333333333</v>
      </c>
      <c r="O19" s="253">
        <f>IFERROR(VLOOKUP($B19,'[5]Budget Total-FY20 (P&amp;L)'!$B$4:$P$105,14,FALSE),0)</f>
        <v>1083.3333333333333</v>
      </c>
      <c r="P19" s="303">
        <f t="shared" si="0"/>
        <v>13000.000000000002</v>
      </c>
      <c r="Q19" s="303">
        <f>+P19-'[2]Combined Summary-Proof'!$T$49</f>
        <v>0</v>
      </c>
      <c r="R19" s="304"/>
      <c r="S19" s="302">
        <f t="shared" si="1"/>
        <v>13000.000000000002</v>
      </c>
      <c r="T19" s="303">
        <f>+'[2]Combined Overview'!$Y$51</f>
        <v>8532.1299999999992</v>
      </c>
      <c r="U19" s="302">
        <f>'[2]Combined Overview'!Z50</f>
        <v>0</v>
      </c>
      <c r="W19" s="256"/>
      <c r="X19" s="258"/>
    </row>
    <row r="20" spans="1:24" ht="11.7" customHeight="1" x14ac:dyDescent="0.25">
      <c r="A20" s="251"/>
      <c r="B20" s="252">
        <v>4638</v>
      </c>
      <c r="C20" s="252" t="s">
        <v>289</v>
      </c>
      <c r="D20" s="253">
        <f>IFERROR(VLOOKUP($B20,'[5]Budget Total-FY20 (P&amp;L)'!$B$4:$P$105,3,FALSE),0)</f>
        <v>0</v>
      </c>
      <c r="E20" s="253">
        <f>IFERROR(VLOOKUP($B20,'[5]Budget Total-FY20 (P&amp;L)'!$B$4:$P$105,4,FALSE),0)</f>
        <v>0</v>
      </c>
      <c r="F20" s="253">
        <f>IFERROR(VLOOKUP($B20,'[5]Budget Total-FY20 (P&amp;L)'!$B$4:$P$105,5,FALSE),0)</f>
        <v>0</v>
      </c>
      <c r="G20" s="253">
        <f>IFERROR(VLOOKUP($B20,'[5]Budget Total-FY20 (P&amp;L)'!$B$4:$P$105,6,FALSE),0)</f>
        <v>0</v>
      </c>
      <c r="H20" s="253">
        <f>IFERROR(VLOOKUP($B20,'[5]Budget Total-FY20 (P&amp;L)'!$B$4:$P$105,7,FALSE),0)</f>
        <v>0</v>
      </c>
      <c r="I20" s="253">
        <f>IFERROR(VLOOKUP($B20,'[5]Budget Total-FY20 (P&amp;L)'!$B$4:$P$105,8,FALSE),0)</f>
        <v>0</v>
      </c>
      <c r="J20" s="253">
        <f>IFERROR(VLOOKUP($B20,'[5]Budget Total-FY20 (P&amp;L)'!$B$4:$P$105,9,FALSE),0)</f>
        <v>0</v>
      </c>
      <c r="K20" s="253">
        <f>IFERROR(VLOOKUP($B20,'[5]Budget Total-FY20 (P&amp;L)'!$B$4:$P$105,10,FALSE),0)</f>
        <v>0</v>
      </c>
      <c r="L20" s="253">
        <f>IFERROR(VLOOKUP($B20,'[5]Budget Total-FY20 (P&amp;L)'!$B$4:$P$105,11,FALSE),0)</f>
        <v>0</v>
      </c>
      <c r="M20" s="253">
        <f>IFERROR(VLOOKUP($B20,'[5]Budget Total-FY20 (P&amp;L)'!$B$4:$P$105,12,FALSE),0)</f>
        <v>0</v>
      </c>
      <c r="N20" s="253">
        <f>IFERROR(VLOOKUP($B20,'[5]Budget Total-FY20 (P&amp;L)'!$B$4:$P$105,13,FALSE),0)</f>
        <v>0</v>
      </c>
      <c r="O20" s="253">
        <f>IFERROR(VLOOKUP($B20,'[5]Budget Total-FY20 (P&amp;L)'!$B$4:$P$105,14,FALSE),0)</f>
        <v>60000</v>
      </c>
      <c r="P20" s="303">
        <f t="shared" si="0"/>
        <v>60000</v>
      </c>
      <c r="Q20" s="303">
        <f>+P20-'[2]Combined Summary-Proof'!$T$50</f>
        <v>0</v>
      </c>
      <c r="R20" s="304"/>
      <c r="S20" s="302">
        <f t="shared" si="1"/>
        <v>60000</v>
      </c>
      <c r="T20" s="303">
        <f>'[2]Combined Overview'!Y52</f>
        <v>50158.45</v>
      </c>
      <c r="U20" s="302">
        <f>'[2]Combined Overview'!Z52</f>
        <v>25000</v>
      </c>
      <c r="W20" s="256"/>
      <c r="X20" s="258"/>
    </row>
    <row r="21" spans="1:24" ht="11.7" customHeight="1" x14ac:dyDescent="0.25">
      <c r="A21" s="251"/>
      <c r="B21" s="252"/>
      <c r="C21" s="259" t="s">
        <v>221</v>
      </c>
      <c r="D21" s="254"/>
      <c r="E21" s="254"/>
      <c r="F21" s="254"/>
      <c r="G21" s="254"/>
      <c r="H21" s="254"/>
      <c r="I21" s="254"/>
      <c r="J21" s="254"/>
      <c r="K21" s="254"/>
      <c r="L21" s="254"/>
      <c r="M21" s="254"/>
      <c r="N21" s="254"/>
      <c r="O21" s="254"/>
      <c r="P21" s="303">
        <f t="shared" si="0"/>
        <v>0</v>
      </c>
      <c r="Q21" s="303"/>
      <c r="R21" s="304"/>
      <c r="S21" s="302">
        <f t="shared" si="1"/>
        <v>0</v>
      </c>
      <c r="T21" s="303">
        <v>0</v>
      </c>
      <c r="U21" s="302">
        <v>0</v>
      </c>
      <c r="W21" s="256"/>
    </row>
    <row r="22" spans="1:24" ht="11.7" customHeight="1" x14ac:dyDescent="0.25">
      <c r="A22" s="251"/>
      <c r="B22" s="252"/>
      <c r="C22" s="261" t="s">
        <v>223</v>
      </c>
      <c r="D22" s="254">
        <v>21151.66</v>
      </c>
      <c r="E22" s="254">
        <v>21151.66</v>
      </c>
      <c r="F22" s="254">
        <v>21151.66</v>
      </c>
      <c r="G22" s="254">
        <v>21821.66</v>
      </c>
      <c r="H22" s="254">
        <v>22491.66</v>
      </c>
      <c r="I22" s="254">
        <v>23212.66</v>
      </c>
      <c r="J22" s="254">
        <v>23212.66</v>
      </c>
      <c r="K22" s="254">
        <v>23662.66</v>
      </c>
      <c r="L22" s="254">
        <v>23662.66</v>
      </c>
      <c r="M22" s="254">
        <v>23662.66</v>
      </c>
      <c r="N22" s="254">
        <v>23662.66</v>
      </c>
      <c r="O22" s="254">
        <v>23662.66</v>
      </c>
      <c r="P22" s="303">
        <f t="shared" si="0"/>
        <v>272506.92</v>
      </c>
      <c r="Q22" s="303"/>
      <c r="R22" s="304"/>
      <c r="S22" s="302">
        <f t="shared" si="1"/>
        <v>272506.92</v>
      </c>
      <c r="T22" s="303">
        <v>0</v>
      </c>
      <c r="U22" s="302">
        <v>268650</v>
      </c>
      <c r="W22" s="256"/>
    </row>
    <row r="23" spans="1:24" ht="11.7" customHeight="1" x14ac:dyDescent="0.25">
      <c r="A23" s="251"/>
      <c r="B23" s="252"/>
      <c r="C23" s="261"/>
      <c r="D23" s="254"/>
      <c r="E23" s="254"/>
      <c r="F23" s="254"/>
      <c r="G23" s="254"/>
      <c r="H23" s="254"/>
      <c r="I23" s="254"/>
      <c r="J23" s="254"/>
      <c r="K23" s="254"/>
      <c r="L23" s="254"/>
      <c r="M23" s="254"/>
      <c r="N23" s="254"/>
      <c r="O23" s="254"/>
      <c r="P23" s="303"/>
      <c r="Q23" s="303"/>
      <c r="R23" s="304"/>
      <c r="S23" s="302">
        <f t="shared" si="1"/>
        <v>0</v>
      </c>
      <c r="T23" s="303"/>
      <c r="U23" s="302"/>
      <c r="W23" s="256"/>
    </row>
    <row r="24" spans="1:24" ht="11.7" customHeight="1" x14ac:dyDescent="0.25">
      <c r="A24" s="251"/>
      <c r="B24" s="252"/>
      <c r="C24" s="261"/>
      <c r="D24" s="254"/>
      <c r="E24" s="254"/>
      <c r="F24" s="254"/>
      <c r="G24" s="254"/>
      <c r="H24" s="254"/>
      <c r="I24" s="254"/>
      <c r="J24" s="254"/>
      <c r="K24" s="254"/>
      <c r="L24" s="254"/>
      <c r="M24" s="254"/>
      <c r="N24" s="254"/>
      <c r="O24" s="254"/>
      <c r="P24" s="303"/>
      <c r="Q24" s="303"/>
      <c r="R24" s="304"/>
      <c r="S24" s="302">
        <f t="shared" si="1"/>
        <v>0</v>
      </c>
      <c r="T24" s="303"/>
      <c r="U24" s="302"/>
      <c r="W24" s="256"/>
      <c r="X24" s="141"/>
    </row>
    <row r="25" spans="1:24" ht="11.7" customHeight="1" x14ac:dyDescent="0.2">
      <c r="A25" s="251"/>
      <c r="B25" s="252"/>
      <c r="C25" s="261"/>
      <c r="D25" s="254"/>
      <c r="E25" s="254"/>
      <c r="F25" s="254"/>
      <c r="G25" s="254"/>
      <c r="H25" s="254"/>
      <c r="I25" s="254"/>
      <c r="J25" s="254"/>
      <c r="K25" s="254"/>
      <c r="L25" s="254"/>
      <c r="M25" s="254"/>
      <c r="N25" s="254"/>
      <c r="O25" s="254"/>
      <c r="P25" s="303"/>
      <c r="Q25" s="303"/>
      <c r="R25" s="304"/>
      <c r="S25" s="302">
        <f t="shared" si="1"/>
        <v>0</v>
      </c>
      <c r="T25" s="303"/>
      <c r="U25" s="302"/>
      <c r="X25" s="142"/>
    </row>
    <row r="26" spans="1:24" ht="11.7" customHeight="1" x14ac:dyDescent="0.2">
      <c r="A26" s="251"/>
      <c r="B26" s="252"/>
      <c r="C26" s="261"/>
      <c r="D26" s="254"/>
      <c r="E26" s="254"/>
      <c r="F26" s="254"/>
      <c r="G26" s="254"/>
      <c r="H26" s="254"/>
      <c r="I26" s="254"/>
      <c r="J26" s="254"/>
      <c r="K26" s="254"/>
      <c r="L26" s="254"/>
      <c r="M26" s="254"/>
      <c r="N26" s="254"/>
      <c r="O26" s="254"/>
      <c r="P26" s="303"/>
      <c r="Q26" s="303"/>
      <c r="R26" s="304"/>
      <c r="S26" s="302">
        <f t="shared" si="1"/>
        <v>0</v>
      </c>
      <c r="T26" s="303"/>
      <c r="U26" s="302"/>
      <c r="X26" s="141"/>
    </row>
    <row r="27" spans="1:24" ht="11.7" customHeight="1" x14ac:dyDescent="0.2">
      <c r="A27" s="251"/>
      <c r="B27" s="252"/>
      <c r="C27" s="252"/>
      <c r="D27" s="254"/>
      <c r="E27" s="254"/>
      <c r="F27" s="254"/>
      <c r="G27" s="254"/>
      <c r="H27" s="254"/>
      <c r="I27" s="254"/>
      <c r="J27" s="254"/>
      <c r="K27" s="254"/>
      <c r="L27" s="254"/>
      <c r="M27" s="254"/>
      <c r="N27" s="254"/>
      <c r="O27" s="254"/>
      <c r="P27" s="303"/>
      <c r="Q27" s="303"/>
      <c r="R27" s="304"/>
      <c r="S27" s="302">
        <f t="shared" si="1"/>
        <v>0</v>
      </c>
      <c r="T27" s="303">
        <v>0</v>
      </c>
      <c r="U27" s="302">
        <v>0</v>
      </c>
    </row>
    <row r="28" spans="1:24" x14ac:dyDescent="0.2">
      <c r="A28" s="251"/>
      <c r="B28" s="252"/>
      <c r="C28" s="252"/>
      <c r="D28" s="254"/>
      <c r="E28" s="254"/>
      <c r="F28" s="254"/>
      <c r="G28" s="254"/>
      <c r="H28" s="254"/>
      <c r="I28" s="254"/>
      <c r="J28" s="254"/>
      <c r="K28" s="254"/>
      <c r="L28" s="254"/>
      <c r="M28" s="254"/>
      <c r="N28" s="254"/>
      <c r="O28" s="254"/>
      <c r="P28" s="303"/>
      <c r="Q28" s="303"/>
      <c r="R28" s="304"/>
      <c r="S28" s="302">
        <f t="shared" si="1"/>
        <v>0</v>
      </c>
      <c r="T28" s="303">
        <v>0</v>
      </c>
      <c r="U28" s="302">
        <v>0</v>
      </c>
    </row>
    <row r="29" spans="1:24" x14ac:dyDescent="0.2">
      <c r="B29" s="262"/>
      <c r="C29" s="262"/>
      <c r="D29" s="255"/>
      <c r="E29" s="255"/>
      <c r="F29" s="255"/>
      <c r="G29" s="255"/>
      <c r="H29" s="255"/>
      <c r="I29" s="255"/>
      <c r="J29" s="255"/>
      <c r="K29" s="255"/>
      <c r="L29" s="255"/>
      <c r="M29" s="255"/>
      <c r="N29" s="255"/>
      <c r="O29" s="255"/>
      <c r="P29" s="303"/>
      <c r="Q29" s="303"/>
      <c r="R29" s="303"/>
      <c r="S29" s="302"/>
      <c r="T29" s="303"/>
      <c r="U29" s="302">
        <v>0</v>
      </c>
      <c r="X29" s="143"/>
    </row>
    <row r="30" spans="1:24" ht="12" x14ac:dyDescent="0.25">
      <c r="B30" s="263" t="s">
        <v>13</v>
      </c>
      <c r="C30" s="263"/>
      <c r="D30" s="264">
        <f t="shared" ref="D30:Q30" si="2">ROUNDUP(SUM(D4:D28),0)</f>
        <v>521722</v>
      </c>
      <c r="E30" s="264">
        <f t="shared" si="2"/>
        <v>199222</v>
      </c>
      <c r="F30" s="264">
        <f t="shared" si="2"/>
        <v>280222</v>
      </c>
      <c r="G30" s="264">
        <f t="shared" si="2"/>
        <v>218892</v>
      </c>
      <c r="H30" s="264">
        <f t="shared" si="2"/>
        <v>217562</v>
      </c>
      <c r="I30" s="264">
        <f t="shared" si="2"/>
        <v>415283</v>
      </c>
      <c r="J30" s="264">
        <f t="shared" si="2"/>
        <v>258333</v>
      </c>
      <c r="K30" s="264">
        <f t="shared" si="2"/>
        <v>212733</v>
      </c>
      <c r="L30" s="264">
        <f t="shared" si="2"/>
        <v>247733</v>
      </c>
      <c r="M30" s="264">
        <f t="shared" si="2"/>
        <v>217233</v>
      </c>
      <c r="N30" s="264">
        <f t="shared" si="2"/>
        <v>199733</v>
      </c>
      <c r="O30" s="264">
        <f t="shared" si="2"/>
        <v>377233</v>
      </c>
      <c r="P30" s="264">
        <f t="shared" si="2"/>
        <v>3365897</v>
      </c>
      <c r="Q30" s="264">
        <f t="shared" si="2"/>
        <v>0</v>
      </c>
      <c r="R30" s="264">
        <f>SUM(R4:R28)</f>
        <v>0</v>
      </c>
      <c r="S30" s="264">
        <f>+P30+R30</f>
        <v>3365897</v>
      </c>
      <c r="T30" s="264" t="e">
        <f>SUM(T4:T29)</f>
        <v>#REF!</v>
      </c>
      <c r="U30" s="264">
        <f>SUM(U4:U29)</f>
        <v>3023990</v>
      </c>
    </row>
    <row r="31" spans="1:24" ht="12" x14ac:dyDescent="0.25">
      <c r="B31" s="146"/>
      <c r="C31" s="146"/>
      <c r="D31" s="147"/>
      <c r="E31" s="147"/>
      <c r="F31" s="147"/>
      <c r="G31" s="147"/>
      <c r="H31" s="147"/>
      <c r="I31" s="147"/>
      <c r="J31" s="147"/>
      <c r="K31" s="147"/>
      <c r="L31" s="147"/>
      <c r="M31" s="147"/>
      <c r="N31" s="147"/>
      <c r="O31" s="147"/>
      <c r="P31" s="141"/>
      <c r="Q31" s="141"/>
      <c r="R31" s="141"/>
      <c r="S31" s="141"/>
      <c r="T31" s="141"/>
      <c r="U31" s="141"/>
    </row>
    <row r="32" spans="1:24" x14ac:dyDescent="0.2">
      <c r="B32" s="265">
        <v>7310</v>
      </c>
      <c r="C32" s="262" t="s">
        <v>290</v>
      </c>
      <c r="D32" s="253">
        <f>IFERROR(VLOOKUP($B32,'[5]Budget Total-FY20 (P&amp;L)'!$B$4:$P$105,3,FALSE),0)</f>
        <v>0</v>
      </c>
      <c r="E32" s="253">
        <f>IFERROR(VLOOKUP($B32,'[5]Budget Total-FY20 (P&amp;L)'!$B$4:$P$105,4,FALSE),0)</f>
        <v>0</v>
      </c>
      <c r="F32" s="253">
        <f>IFERROR(VLOOKUP($B32,'[5]Budget Total-FY20 (P&amp;L)'!$B$4:$P$105,5,FALSE),0)</f>
        <v>12150</v>
      </c>
      <c r="G32" s="253">
        <f>IFERROR(VLOOKUP($B32,'[5]Budget Total-FY20 (P&amp;L)'!$B$4:$P$105,6,FALSE),0)</f>
        <v>0</v>
      </c>
      <c r="H32" s="253">
        <f>IFERROR(VLOOKUP($B32,'[5]Budget Total-FY20 (P&amp;L)'!$B$4:$P$105,7,FALSE),0)</f>
        <v>1950</v>
      </c>
      <c r="I32" s="253">
        <f>IFERROR(VLOOKUP($B32,'[5]Budget Total-FY20 (P&amp;L)'!$B$4:$P$105,8,FALSE),0)</f>
        <v>0</v>
      </c>
      <c r="J32" s="253">
        <f>IFERROR(VLOOKUP($B32,'[5]Budget Total-FY20 (P&amp;L)'!$B$4:$P$105,9,FALSE),0)</f>
        <v>0</v>
      </c>
      <c r="K32" s="253">
        <f>IFERROR(VLOOKUP($B32,'[5]Budget Total-FY20 (P&amp;L)'!$B$4:$P$105,10,FALSE),0)</f>
        <v>0</v>
      </c>
      <c r="L32" s="253">
        <f>IFERROR(VLOOKUP($B32,'[5]Budget Total-FY20 (P&amp;L)'!$B$4:$P$105,11,FALSE),0)</f>
        <v>0</v>
      </c>
      <c r="M32" s="253">
        <f>IFERROR(VLOOKUP($B32,'[5]Budget Total-FY20 (P&amp;L)'!$B$4:$P$105,12,FALSE),0)</f>
        <v>0</v>
      </c>
      <c r="N32" s="253">
        <f>IFERROR(VLOOKUP($B32,'[5]Budget Total-FY20 (P&amp;L)'!$B$4:$P$105,13,FALSE),0)</f>
        <v>0</v>
      </c>
      <c r="O32" s="253">
        <f>IFERROR(VLOOKUP($B32,'[5]Budget Total-FY20 (P&amp;L)'!$B$4:$P$105,14,FALSE),0)</f>
        <v>0</v>
      </c>
      <c r="P32" s="306">
        <f t="shared" ref="P32:P63" si="3">(ROUNDUP(SUM(D32:O32),0))</f>
        <v>14100</v>
      </c>
      <c r="Q32" s="307">
        <f>+P32-'[2]Combined Overview'!$U$419</f>
        <v>0</v>
      </c>
      <c r="R32" s="304"/>
      <c r="S32" s="302">
        <f>+P32+R32</f>
        <v>14100</v>
      </c>
      <c r="T32" s="307">
        <f>IFERROR(VLOOKUP($B32,'[5]Budget Total-FY20 (P&amp;L)'!$B$4:$U$105,19,FALSE),0)</f>
        <v>13700</v>
      </c>
      <c r="U32" s="302">
        <f>IFERROR(VLOOKUP($B32,'[5]Budget Total-FY20 (P&amp;L)'!$B$4:$U$105,20,FALSE),0)</f>
        <v>12000</v>
      </c>
      <c r="W32" s="142"/>
    </row>
    <row r="33" spans="2:23" x14ac:dyDescent="0.2">
      <c r="B33" s="266" t="s">
        <v>291</v>
      </c>
      <c r="C33" s="262" t="s">
        <v>292</v>
      </c>
      <c r="D33" s="253">
        <f>IFERROR(VLOOKUP($B33,'[5]Budget Total-FY20 (P&amp;L)'!$B$4:$P$105,3,FALSE),0)</f>
        <v>8025</v>
      </c>
      <c r="E33" s="253">
        <f>IFERROR(VLOOKUP($B33,'[5]Budget Total-FY20 (P&amp;L)'!$B$4:$P$105,4,FALSE),0)</f>
        <v>6525</v>
      </c>
      <c r="F33" s="253">
        <f>IFERROR(VLOOKUP($B33,'[5]Budget Total-FY20 (P&amp;L)'!$B$4:$P$105,5,FALSE),0)</f>
        <v>6525</v>
      </c>
      <c r="G33" s="253">
        <f>IFERROR(VLOOKUP($B33,'[5]Budget Total-FY20 (P&amp;L)'!$B$4:$P$105,6,FALSE),0)</f>
        <v>6525</v>
      </c>
      <c r="H33" s="253">
        <f>IFERROR(VLOOKUP($B33,'[5]Budget Total-FY20 (P&amp;L)'!$B$4:$P$105,7,FALSE),0)</f>
        <v>6525</v>
      </c>
      <c r="I33" s="253">
        <f>IFERROR(VLOOKUP($B33,'[5]Budget Total-FY20 (P&amp;L)'!$B$4:$P$105,8,FALSE),0)</f>
        <v>6525</v>
      </c>
      <c r="J33" s="253">
        <f>IFERROR(VLOOKUP($B33,'[5]Budget Total-FY20 (P&amp;L)'!$B$4:$P$105,9,FALSE),0)</f>
        <v>6925</v>
      </c>
      <c r="K33" s="253">
        <f>IFERROR(VLOOKUP($B33,'[5]Budget Total-FY20 (P&amp;L)'!$B$4:$P$105,10,FALSE),0)</f>
        <v>6525</v>
      </c>
      <c r="L33" s="253">
        <f>IFERROR(VLOOKUP($B33,'[5]Budget Total-FY20 (P&amp;L)'!$B$4:$P$105,11,FALSE),0)</f>
        <v>6525</v>
      </c>
      <c r="M33" s="253">
        <f>IFERROR(VLOOKUP($B33,'[5]Budget Total-FY20 (P&amp;L)'!$B$4:$P$105,12,FALSE),0)</f>
        <v>6525</v>
      </c>
      <c r="N33" s="253">
        <f>IFERROR(VLOOKUP($B33,'[5]Budget Total-FY20 (P&amp;L)'!$B$4:$P$105,13,FALSE),0)</f>
        <v>6525</v>
      </c>
      <c r="O33" s="253">
        <f>IFERROR(VLOOKUP($B33,'[5]Budget Total-FY20 (P&amp;L)'!$B$4:$P$105,14,FALSE),0)</f>
        <v>21525</v>
      </c>
      <c r="P33" s="306">
        <f t="shared" si="3"/>
        <v>95200</v>
      </c>
      <c r="Q33" s="307"/>
      <c r="R33" s="304"/>
      <c r="S33" s="302">
        <f>+P33+R33</f>
        <v>95200</v>
      </c>
      <c r="T33" s="307">
        <f>IFERROR(VLOOKUP($B33,'[5]Budget Total-FY20 (P&amp;L)'!$B$4:$U$105,19,FALSE),0)</f>
        <v>61594.11</v>
      </c>
      <c r="U33" s="302">
        <f>IFERROR(VLOOKUP($B33,'[5]Budget Total-FY20 (P&amp;L)'!$B$4:$U$105,20,FALSE),0)</f>
        <v>93000</v>
      </c>
      <c r="W33" s="142"/>
    </row>
    <row r="34" spans="2:23" x14ac:dyDescent="0.2">
      <c r="B34" s="266">
        <v>7410</v>
      </c>
      <c r="C34" s="267" t="s">
        <v>293</v>
      </c>
      <c r="D34" s="253">
        <f>IFERROR(VLOOKUP($B34,'[5]Budget Total-FY20 (P&amp;L)'!$B$4:$P$105,3,FALSE),0)</f>
        <v>0</v>
      </c>
      <c r="E34" s="253">
        <f>IFERROR(VLOOKUP($B34,'[5]Budget Total-FY20 (P&amp;L)'!$B$4:$P$105,4,FALSE),0)</f>
        <v>0</v>
      </c>
      <c r="F34" s="253">
        <f>IFERROR(VLOOKUP($B34,'[5]Budget Total-FY20 (P&amp;L)'!$B$4:$P$105,5,FALSE),0)</f>
        <v>0</v>
      </c>
      <c r="G34" s="253">
        <f>IFERROR(VLOOKUP($B34,'[5]Budget Total-FY20 (P&amp;L)'!$B$4:$P$105,6,FALSE),0)</f>
        <v>0</v>
      </c>
      <c r="H34" s="253">
        <f>IFERROR(VLOOKUP($B34,'[5]Budget Total-FY20 (P&amp;L)'!$B$4:$P$105,7,FALSE),0)</f>
        <v>0</v>
      </c>
      <c r="I34" s="253">
        <f>IFERROR(VLOOKUP($B34,'[5]Budget Total-FY20 (P&amp;L)'!$B$4:$P$105,8,FALSE),0)</f>
        <v>0</v>
      </c>
      <c r="J34" s="253">
        <f>IFERROR(VLOOKUP($B34,'[5]Budget Total-FY20 (P&amp;L)'!$B$4:$P$105,9,FALSE),0)</f>
        <v>0</v>
      </c>
      <c r="K34" s="253">
        <f>IFERROR(VLOOKUP($B34,'[5]Budget Total-FY20 (P&amp;L)'!$B$4:$P$105,10,FALSE),0)</f>
        <v>0</v>
      </c>
      <c r="L34" s="253">
        <f>IFERROR(VLOOKUP($B34,'[5]Budget Total-FY20 (P&amp;L)'!$B$4:$P$105,11,FALSE),0)</f>
        <v>0</v>
      </c>
      <c r="M34" s="253">
        <f>IFERROR(VLOOKUP($B34,'[5]Budget Total-FY20 (P&amp;L)'!$B$4:$P$105,12,FALSE),0)</f>
        <v>0</v>
      </c>
      <c r="N34" s="253">
        <f>IFERROR(VLOOKUP($B34,'[5]Budget Total-FY20 (P&amp;L)'!$B$4:$P$105,13,FALSE),0)</f>
        <v>0</v>
      </c>
      <c r="O34" s="253">
        <f>IFERROR(VLOOKUP($B34,'[5]Budget Total-FY20 (P&amp;L)'!$B$4:$P$105,14,FALSE),0)</f>
        <v>500</v>
      </c>
      <c r="P34" s="306">
        <f t="shared" si="3"/>
        <v>500</v>
      </c>
      <c r="Q34" s="307"/>
      <c r="R34" s="304"/>
      <c r="S34" s="302">
        <v>0</v>
      </c>
      <c r="T34" s="307">
        <f>IFERROR(VLOOKUP($B34,'[5]Budget Total-FY20 (P&amp;L)'!$B$4:$U$105,19,FALSE),0)</f>
        <v>0</v>
      </c>
      <c r="U34" s="302">
        <f>IFERROR(VLOOKUP($B34,'[5]Budget Total-FY20 (P&amp;L)'!$B$4:$U$105,20,FALSE),0)</f>
        <v>0</v>
      </c>
      <c r="W34" s="142"/>
    </row>
    <row r="35" spans="2:23" x14ac:dyDescent="0.2">
      <c r="B35" s="266" t="s">
        <v>294</v>
      </c>
      <c r="C35" s="262" t="s">
        <v>295</v>
      </c>
      <c r="D35" s="253">
        <f>IFERROR(VLOOKUP($B35,'[5]Budget Total-FY20 (P&amp;L)'!$B$4:$P$105,3,FALSE),0)</f>
        <v>1666.6666666666667</v>
      </c>
      <c r="E35" s="253">
        <f>IFERROR(VLOOKUP($B35,'[5]Budget Total-FY20 (P&amp;L)'!$B$4:$P$105,4,FALSE),0)</f>
        <v>1666.6666666666667</v>
      </c>
      <c r="F35" s="253">
        <f>IFERROR(VLOOKUP($B35,'[5]Budget Total-FY20 (P&amp;L)'!$B$4:$P$105,5,FALSE),0)</f>
        <v>1666.6666666666667</v>
      </c>
      <c r="G35" s="253">
        <f>IFERROR(VLOOKUP($B35,'[5]Budget Total-FY20 (P&amp;L)'!$B$4:$P$105,6,FALSE),0)</f>
        <v>1666.6666666666667</v>
      </c>
      <c r="H35" s="253">
        <f>IFERROR(VLOOKUP($B35,'[5]Budget Total-FY20 (P&amp;L)'!$B$4:$P$105,7,FALSE),0)</f>
        <v>1666.6666666666667</v>
      </c>
      <c r="I35" s="253">
        <f>IFERROR(VLOOKUP($B35,'[5]Budget Total-FY20 (P&amp;L)'!$B$4:$P$105,8,FALSE),0)</f>
        <v>1666.6666666666667</v>
      </c>
      <c r="J35" s="253">
        <f>IFERROR(VLOOKUP($B35,'[5]Budget Total-FY20 (P&amp;L)'!$B$4:$P$105,9,FALSE),0)</f>
        <v>1666.6666666666667</v>
      </c>
      <c r="K35" s="253">
        <f>IFERROR(VLOOKUP($B35,'[5]Budget Total-FY20 (P&amp;L)'!$B$4:$P$105,10,FALSE),0)</f>
        <v>1666.6666666666667</v>
      </c>
      <c r="L35" s="253">
        <f>IFERROR(VLOOKUP($B35,'[5]Budget Total-FY20 (P&amp;L)'!$B$4:$P$105,11,FALSE),0)</f>
        <v>1666.6666666666667</v>
      </c>
      <c r="M35" s="253">
        <f>IFERROR(VLOOKUP($B35,'[5]Budget Total-FY20 (P&amp;L)'!$B$4:$P$105,12,FALSE),0)</f>
        <v>1666.6666666666667</v>
      </c>
      <c r="N35" s="253">
        <f>IFERROR(VLOOKUP($B35,'[5]Budget Total-FY20 (P&amp;L)'!$B$4:$P$105,13,FALSE),0)</f>
        <v>1666.6666666666667</v>
      </c>
      <c r="O35" s="253">
        <f>IFERROR(VLOOKUP($B35,'[5]Budget Total-FY20 (P&amp;L)'!$B$4:$P$105,14,FALSE),0)</f>
        <v>1666.6666666666667</v>
      </c>
      <c r="P35" s="306">
        <f t="shared" si="3"/>
        <v>20000</v>
      </c>
      <c r="Q35" s="307"/>
      <c r="R35" s="304"/>
      <c r="S35" s="302"/>
      <c r="T35" s="307"/>
      <c r="U35" s="302"/>
      <c r="W35" s="142"/>
    </row>
    <row r="36" spans="2:23" x14ac:dyDescent="0.2">
      <c r="B36" s="268" t="s">
        <v>226</v>
      </c>
      <c r="C36" s="262" t="s">
        <v>129</v>
      </c>
      <c r="D36" s="253">
        <f>IFERROR(VLOOKUP($B36,'[5]Budget Total-FY20 (P&amp;L)'!$B$4:$P$105,3,FALSE),0)</f>
        <v>0</v>
      </c>
      <c r="E36" s="253">
        <f>IFERROR(VLOOKUP($B36,'[5]Budget Total-FY20 (P&amp;L)'!$B$4:$P$105,4,FALSE),0)</f>
        <v>0</v>
      </c>
      <c r="F36" s="253">
        <f>IFERROR(VLOOKUP($B36,'[5]Budget Total-FY20 (P&amp;L)'!$B$4:$P$105,5,FALSE),0)</f>
        <v>0</v>
      </c>
      <c r="G36" s="253">
        <f>IFERROR(VLOOKUP($B36,'[5]Budget Total-FY20 (P&amp;L)'!$B$4:$P$105,6,FALSE),0)</f>
        <v>45</v>
      </c>
      <c r="H36" s="253">
        <f>IFERROR(VLOOKUP($B36,'[5]Budget Total-FY20 (P&amp;L)'!$B$4:$P$105,7,FALSE),0)</f>
        <v>0</v>
      </c>
      <c r="I36" s="253">
        <f>IFERROR(VLOOKUP($B36,'[5]Budget Total-FY20 (P&amp;L)'!$B$4:$P$105,8,FALSE),0)</f>
        <v>15</v>
      </c>
      <c r="J36" s="253">
        <f>IFERROR(VLOOKUP($B36,'[5]Budget Total-FY20 (P&amp;L)'!$B$4:$P$105,9,FALSE),0)</f>
        <v>30</v>
      </c>
      <c r="K36" s="253">
        <f>IFERROR(VLOOKUP($B36,'[5]Budget Total-FY20 (P&amp;L)'!$B$4:$P$105,10,FALSE),0)</f>
        <v>90</v>
      </c>
      <c r="L36" s="253">
        <f>IFERROR(VLOOKUP($B36,'[5]Budget Total-FY20 (P&amp;L)'!$B$4:$P$105,11,FALSE),0)</f>
        <v>15</v>
      </c>
      <c r="M36" s="253">
        <f>IFERROR(VLOOKUP($B36,'[5]Budget Total-FY20 (P&amp;L)'!$B$4:$P$105,12,FALSE),0)</f>
        <v>0</v>
      </c>
      <c r="N36" s="253">
        <f>IFERROR(VLOOKUP($B36,'[5]Budget Total-FY20 (P&amp;L)'!$B$4:$P$105,13,FALSE),0)</f>
        <v>0</v>
      </c>
      <c r="O36" s="253">
        <f>IFERROR(VLOOKUP($B36,'[5]Budget Total-FY20 (P&amp;L)'!$B$4:$P$105,14,FALSE),0)</f>
        <v>0</v>
      </c>
      <c r="P36" s="306">
        <f t="shared" si="3"/>
        <v>195</v>
      </c>
      <c r="Q36" s="307"/>
      <c r="R36" s="304"/>
      <c r="S36" s="302">
        <f t="shared" ref="S36:S67" si="4">+P36+R36</f>
        <v>195</v>
      </c>
      <c r="T36" s="307">
        <f>IFERROR(VLOOKUP($B36,'[5]Budget Total-FY20 (P&amp;L)'!$B$4:$U$105,19,FALSE),0)</f>
        <v>212</v>
      </c>
      <c r="U36" s="302">
        <f>IFERROR(VLOOKUP($B36,'[5]Budget Total-FY20 (P&amp;L)'!$B$4:$U$105,20,FALSE),0)</f>
        <v>460</v>
      </c>
      <c r="W36" s="142"/>
    </row>
    <row r="37" spans="2:23" x14ac:dyDescent="0.2">
      <c r="B37" s="266" t="s">
        <v>296</v>
      </c>
      <c r="C37" s="267" t="s">
        <v>130</v>
      </c>
      <c r="D37" s="253">
        <f>IFERROR(VLOOKUP($B37,'[5]Budget Total-FY20 (P&amp;L)'!$B$4:$P$105,3,FALSE),0)</f>
        <v>2621</v>
      </c>
      <c r="E37" s="253">
        <f>IFERROR(VLOOKUP($B37,'[5]Budget Total-FY20 (P&amp;L)'!$B$4:$P$105,4,FALSE),0)</f>
        <v>2586</v>
      </c>
      <c r="F37" s="253">
        <f>IFERROR(VLOOKUP($B37,'[5]Budget Total-FY20 (P&amp;L)'!$B$4:$P$105,5,FALSE),0)</f>
        <v>2621</v>
      </c>
      <c r="G37" s="253">
        <f>IFERROR(VLOOKUP($B37,'[5]Budget Total-FY20 (P&amp;L)'!$B$4:$P$105,6,FALSE),0)</f>
        <v>2586</v>
      </c>
      <c r="H37" s="253">
        <f>IFERROR(VLOOKUP($B37,'[5]Budget Total-FY20 (P&amp;L)'!$B$4:$P$105,7,FALSE),0)</f>
        <v>2586</v>
      </c>
      <c r="I37" s="253">
        <f>IFERROR(VLOOKUP($B37,'[5]Budget Total-FY20 (P&amp;L)'!$B$4:$P$105,8,FALSE),0)</f>
        <v>2621</v>
      </c>
      <c r="J37" s="253">
        <f>IFERROR(VLOOKUP($B37,'[5]Budget Total-FY20 (P&amp;L)'!$B$4:$P$105,9,FALSE),0)</f>
        <v>2621</v>
      </c>
      <c r="K37" s="253">
        <f>IFERROR(VLOOKUP($B37,'[5]Budget Total-FY20 (P&amp;L)'!$B$4:$P$105,10,FALSE),0)</f>
        <v>2586</v>
      </c>
      <c r="L37" s="253">
        <f>IFERROR(VLOOKUP($B37,'[5]Budget Total-FY20 (P&amp;L)'!$B$4:$P$105,11,FALSE),0)</f>
        <v>2621</v>
      </c>
      <c r="M37" s="253">
        <f>IFERROR(VLOOKUP($B37,'[5]Budget Total-FY20 (P&amp;L)'!$B$4:$P$105,12,FALSE),0)</f>
        <v>2586</v>
      </c>
      <c r="N37" s="253">
        <f>IFERROR(VLOOKUP($B37,'[5]Budget Total-FY20 (P&amp;L)'!$B$4:$P$105,13,FALSE),0)</f>
        <v>2586</v>
      </c>
      <c r="O37" s="253">
        <f>IFERROR(VLOOKUP($B37,'[5]Budget Total-FY20 (P&amp;L)'!$B$4:$P$105,14,FALSE),0)</f>
        <v>2656</v>
      </c>
      <c r="P37" s="306">
        <f t="shared" si="3"/>
        <v>31277</v>
      </c>
      <c r="Q37" s="307"/>
      <c r="R37" s="304"/>
      <c r="S37" s="302">
        <f t="shared" si="4"/>
        <v>31277</v>
      </c>
      <c r="T37" s="307">
        <f>IFERROR(VLOOKUP($B37,'[5]Budget Total-FY20 (P&amp;L)'!$B$4:$U$105,19,FALSE),0)</f>
        <v>26227.149999999998</v>
      </c>
      <c r="U37" s="302">
        <f>IFERROR(VLOOKUP($B37,'[5]Budget Total-FY20 (P&amp;L)'!$B$4:$U$105,20,FALSE),0)</f>
        <v>35000</v>
      </c>
      <c r="W37" s="142"/>
    </row>
    <row r="38" spans="2:23" x14ac:dyDescent="0.2">
      <c r="B38" s="265">
        <v>7356</v>
      </c>
      <c r="C38" s="262" t="s">
        <v>132</v>
      </c>
      <c r="D38" s="253">
        <f>IFERROR(VLOOKUP($B38,'[5]Budget Total-FY20 (P&amp;L)'!$B$4:$P$105,3,FALSE),0)</f>
        <v>0</v>
      </c>
      <c r="E38" s="253">
        <f>IFERROR(VLOOKUP($B38,'[5]Budget Total-FY20 (P&amp;L)'!$B$4:$P$105,4,FALSE),0)</f>
        <v>0</v>
      </c>
      <c r="F38" s="253">
        <f>IFERROR(VLOOKUP($B38,'[5]Budget Total-FY20 (P&amp;L)'!$B$4:$P$105,5,FALSE),0)</f>
        <v>25</v>
      </c>
      <c r="G38" s="253">
        <f>IFERROR(VLOOKUP($B38,'[5]Budget Total-FY20 (P&amp;L)'!$B$4:$P$105,6,FALSE),0)</f>
        <v>500</v>
      </c>
      <c r="H38" s="253">
        <f>IFERROR(VLOOKUP($B38,'[5]Budget Total-FY20 (P&amp;L)'!$B$4:$P$105,7,FALSE),0)</f>
        <v>0</v>
      </c>
      <c r="I38" s="253">
        <f>IFERROR(VLOOKUP($B38,'[5]Budget Total-FY20 (P&amp;L)'!$B$4:$P$105,8,FALSE),0)</f>
        <v>25</v>
      </c>
      <c r="J38" s="253">
        <f>IFERROR(VLOOKUP($B38,'[5]Budget Total-FY20 (P&amp;L)'!$B$4:$P$105,9,FALSE),0)</f>
        <v>0</v>
      </c>
      <c r="K38" s="253">
        <f>IFERROR(VLOOKUP($B38,'[5]Budget Total-FY20 (P&amp;L)'!$B$4:$P$105,10,FALSE),0)</f>
        <v>0</v>
      </c>
      <c r="L38" s="253">
        <f>IFERROR(VLOOKUP($B38,'[5]Budget Total-FY20 (P&amp;L)'!$B$4:$P$105,11,FALSE),0)</f>
        <v>25</v>
      </c>
      <c r="M38" s="253">
        <f>IFERROR(VLOOKUP($B38,'[5]Budget Total-FY20 (P&amp;L)'!$B$4:$P$105,12,FALSE),0)</f>
        <v>0</v>
      </c>
      <c r="N38" s="253">
        <f>IFERROR(VLOOKUP($B38,'[5]Budget Total-FY20 (P&amp;L)'!$B$4:$P$105,13,FALSE),0)</f>
        <v>25</v>
      </c>
      <c r="O38" s="253">
        <f>IFERROR(VLOOKUP($B38,'[5]Budget Total-FY20 (P&amp;L)'!$B$4:$P$105,14,FALSE),0)</f>
        <v>400</v>
      </c>
      <c r="P38" s="306">
        <f t="shared" si="3"/>
        <v>1000</v>
      </c>
      <c r="Q38" s="307"/>
      <c r="R38" s="304"/>
      <c r="S38" s="302">
        <f t="shared" si="4"/>
        <v>1000</v>
      </c>
      <c r="T38" s="307">
        <f>IFERROR(VLOOKUP($B38,'[5]Budget Total-FY20 (P&amp;L)'!$B$4:$U$105,19,FALSE),0)</f>
        <v>419.81</v>
      </c>
      <c r="U38" s="302">
        <f>IFERROR(VLOOKUP($B38,'[5]Budget Total-FY20 (P&amp;L)'!$B$4:$U$105,20,FALSE),0)</f>
        <v>2000</v>
      </c>
      <c r="W38" s="142"/>
    </row>
    <row r="39" spans="2:23" x14ac:dyDescent="0.2">
      <c r="B39" s="268">
        <v>5105</v>
      </c>
      <c r="C39" s="262" t="s">
        <v>133</v>
      </c>
      <c r="D39" s="253">
        <f>IFERROR(VLOOKUP($B39,'[5]Budget Total-FY20 (P&amp;L)'!$B$4:$P$105,3,FALSE),0)</f>
        <v>1250</v>
      </c>
      <c r="E39" s="253">
        <f>IFERROR(VLOOKUP($B39,'[5]Budget Total-FY20 (P&amp;L)'!$B$4:$P$105,4,FALSE),0)</f>
        <v>1250</v>
      </c>
      <c r="F39" s="253">
        <f>IFERROR(VLOOKUP($B39,'[5]Budget Total-FY20 (P&amp;L)'!$B$4:$P$105,5,FALSE),0)</f>
        <v>1250</v>
      </c>
      <c r="G39" s="253">
        <f>IFERROR(VLOOKUP($B39,'[5]Budget Total-FY20 (P&amp;L)'!$B$4:$P$105,6,FALSE),0)</f>
        <v>1250</v>
      </c>
      <c r="H39" s="253">
        <f>IFERROR(VLOOKUP($B39,'[5]Budget Total-FY20 (P&amp;L)'!$B$4:$P$105,7,FALSE),0)</f>
        <v>3300</v>
      </c>
      <c r="I39" s="253">
        <f>IFERROR(VLOOKUP($B39,'[5]Budget Total-FY20 (P&amp;L)'!$B$4:$P$105,8,FALSE),0)</f>
        <v>1275</v>
      </c>
      <c r="J39" s="253">
        <f>IFERROR(VLOOKUP($B39,'[5]Budget Total-FY20 (P&amp;L)'!$B$4:$P$105,9,FALSE),0)</f>
        <v>1275</v>
      </c>
      <c r="K39" s="253">
        <f>IFERROR(VLOOKUP($B39,'[5]Budget Total-FY20 (P&amp;L)'!$B$4:$P$105,10,FALSE),0)</f>
        <v>1275</v>
      </c>
      <c r="L39" s="253">
        <f>IFERROR(VLOOKUP($B39,'[5]Budget Total-FY20 (P&amp;L)'!$B$4:$P$105,11,FALSE),0)</f>
        <v>1275</v>
      </c>
      <c r="M39" s="253">
        <f>IFERROR(VLOOKUP($B39,'[5]Budget Total-FY20 (P&amp;L)'!$B$4:$P$105,12,FALSE),0)</f>
        <v>1275</v>
      </c>
      <c r="N39" s="253">
        <f>IFERROR(VLOOKUP($B39,'[5]Budget Total-FY20 (P&amp;L)'!$B$4:$P$105,13,FALSE),0)</f>
        <v>1275</v>
      </c>
      <c r="O39" s="253">
        <f>IFERROR(VLOOKUP($B39,'[5]Budget Total-FY20 (P&amp;L)'!$B$4:$P$105,14,FALSE),0)</f>
        <v>1275</v>
      </c>
      <c r="P39" s="306">
        <f t="shared" si="3"/>
        <v>17225</v>
      </c>
      <c r="Q39" s="307"/>
      <c r="R39" s="304"/>
      <c r="S39" s="302">
        <f t="shared" si="4"/>
        <v>17225</v>
      </c>
      <c r="T39" s="307">
        <f>IFERROR(VLOOKUP($B39,'[5]Budget Total-FY20 (P&amp;L)'!$B$4:$U$105,19,FALSE),0)</f>
        <v>11295.48</v>
      </c>
      <c r="U39" s="302">
        <f>IFERROR(VLOOKUP($B39,'[5]Budget Total-FY20 (P&amp;L)'!$B$4:$U$105,20,FALSE),0)</f>
        <v>17176</v>
      </c>
      <c r="W39" s="142"/>
    </row>
    <row r="40" spans="2:23" x14ac:dyDescent="0.2">
      <c r="B40" s="265">
        <v>5361</v>
      </c>
      <c r="C40" s="262" t="s">
        <v>135</v>
      </c>
      <c r="D40" s="253">
        <f>IFERROR(VLOOKUP($B40,'[5]Budget Total-FY20 (P&amp;L)'!$B$4:$P$105,3,FALSE),0)</f>
        <v>0</v>
      </c>
      <c r="E40" s="253">
        <f>IFERROR(VLOOKUP($B40,'[5]Budget Total-FY20 (P&amp;L)'!$B$4:$P$105,4,FALSE),0)</f>
        <v>0</v>
      </c>
      <c r="F40" s="253">
        <f>IFERROR(VLOOKUP($B40,'[5]Budget Total-FY20 (P&amp;L)'!$B$4:$P$105,5,FALSE),0)</f>
        <v>0</v>
      </c>
      <c r="G40" s="253">
        <f>IFERROR(VLOOKUP($B40,'[5]Budget Total-FY20 (P&amp;L)'!$B$4:$P$105,6,FALSE),0)</f>
        <v>0</v>
      </c>
      <c r="H40" s="253">
        <f>IFERROR(VLOOKUP($B40,'[5]Budget Total-FY20 (P&amp;L)'!$B$4:$P$105,7,FALSE),0)</f>
        <v>0</v>
      </c>
      <c r="I40" s="253">
        <f>IFERROR(VLOOKUP($B40,'[5]Budget Total-FY20 (P&amp;L)'!$B$4:$P$105,8,FALSE),0)</f>
        <v>4000</v>
      </c>
      <c r="J40" s="253">
        <f>IFERROR(VLOOKUP($B40,'[5]Budget Total-FY20 (P&amp;L)'!$B$4:$P$105,9,FALSE),0)</f>
        <v>0</v>
      </c>
      <c r="K40" s="253">
        <f>IFERROR(VLOOKUP($B40,'[5]Budget Total-FY20 (P&amp;L)'!$B$4:$P$105,10,FALSE),0)</f>
        <v>0</v>
      </c>
      <c r="L40" s="253">
        <f>IFERROR(VLOOKUP($B40,'[5]Budget Total-FY20 (P&amp;L)'!$B$4:$P$105,11,FALSE),0)</f>
        <v>0</v>
      </c>
      <c r="M40" s="253">
        <f>IFERROR(VLOOKUP($B40,'[5]Budget Total-FY20 (P&amp;L)'!$B$4:$P$105,12,FALSE),0)</f>
        <v>0</v>
      </c>
      <c r="N40" s="253">
        <f>IFERROR(VLOOKUP($B40,'[5]Budget Total-FY20 (P&amp;L)'!$B$4:$P$105,13,FALSE),0)</f>
        <v>0</v>
      </c>
      <c r="O40" s="253">
        <f>IFERROR(VLOOKUP($B40,'[5]Budget Total-FY20 (P&amp;L)'!$B$4:$P$105,14,FALSE),0)</f>
        <v>4000</v>
      </c>
      <c r="P40" s="306">
        <f t="shared" si="3"/>
        <v>8000</v>
      </c>
      <c r="Q40" s="307"/>
      <c r="R40" s="304"/>
      <c r="S40" s="302">
        <f t="shared" si="4"/>
        <v>8000</v>
      </c>
      <c r="T40" s="307">
        <f>IFERROR(VLOOKUP($B40,'[5]Budget Total-FY20 (P&amp;L)'!$B$4:$U$105,19,FALSE),0)</f>
        <v>3440.03</v>
      </c>
      <c r="U40" s="302">
        <f>IFERROR(VLOOKUP($B40,'[5]Budget Total-FY20 (P&amp;L)'!$B$4:$U$105,20,FALSE),0)</f>
        <v>8000</v>
      </c>
      <c r="W40" s="142"/>
    </row>
    <row r="41" spans="2:23" x14ac:dyDescent="0.2">
      <c r="B41" s="268">
        <v>5204</v>
      </c>
      <c r="C41" s="262" t="s">
        <v>137</v>
      </c>
      <c r="D41" s="253">
        <f>IFERROR(VLOOKUP($B41,'[5]Budget Total-FY20 (P&amp;L)'!$B$4:$P$105,3,FALSE),0)</f>
        <v>0</v>
      </c>
      <c r="E41" s="253">
        <f>IFERROR(VLOOKUP($B41,'[5]Budget Total-FY20 (P&amp;L)'!$B$4:$P$105,4,FALSE),0)</f>
        <v>0</v>
      </c>
      <c r="F41" s="253">
        <f>IFERROR(VLOOKUP($B41,'[5]Budget Total-FY20 (P&amp;L)'!$B$4:$P$105,5,FALSE),0)</f>
        <v>0</v>
      </c>
      <c r="G41" s="253">
        <f>IFERROR(VLOOKUP($B41,'[5]Budget Total-FY20 (P&amp;L)'!$B$4:$P$105,6,FALSE),0)</f>
        <v>0</v>
      </c>
      <c r="H41" s="253">
        <f>IFERROR(VLOOKUP($B41,'[5]Budget Total-FY20 (P&amp;L)'!$B$4:$P$105,7,FALSE),0)</f>
        <v>4560</v>
      </c>
      <c r="I41" s="253">
        <f>IFERROR(VLOOKUP($B41,'[5]Budget Total-FY20 (P&amp;L)'!$B$4:$P$105,8,FALSE),0)</f>
        <v>0</v>
      </c>
      <c r="J41" s="253">
        <f>IFERROR(VLOOKUP($B41,'[5]Budget Total-FY20 (P&amp;L)'!$B$4:$P$105,9,FALSE),0)</f>
        <v>1520</v>
      </c>
      <c r="K41" s="253">
        <f>IFERROR(VLOOKUP($B41,'[5]Budget Total-FY20 (P&amp;L)'!$B$4:$P$105,10,FALSE),0)</f>
        <v>3040</v>
      </c>
      <c r="L41" s="253">
        <f>IFERROR(VLOOKUP($B41,'[5]Budget Total-FY20 (P&amp;L)'!$B$4:$P$105,11,FALSE),0)</f>
        <v>0</v>
      </c>
      <c r="M41" s="253">
        <f>IFERROR(VLOOKUP($B41,'[5]Budget Total-FY20 (P&amp;L)'!$B$4:$P$105,12,FALSE),0)</f>
        <v>1520</v>
      </c>
      <c r="N41" s="253">
        <f>IFERROR(VLOOKUP($B41,'[5]Budget Total-FY20 (P&amp;L)'!$B$4:$P$105,13,FALSE),0)</f>
        <v>0</v>
      </c>
      <c r="O41" s="253">
        <f>IFERROR(VLOOKUP($B41,'[5]Budget Total-FY20 (P&amp;L)'!$B$4:$P$105,14,FALSE),0)</f>
        <v>0</v>
      </c>
      <c r="P41" s="306">
        <f t="shared" si="3"/>
        <v>10640</v>
      </c>
      <c r="Q41" s="307"/>
      <c r="R41" s="304"/>
      <c r="S41" s="302">
        <f t="shared" si="4"/>
        <v>10640</v>
      </c>
      <c r="T41" s="307">
        <f>IFERROR(VLOOKUP($B41,'[5]Budget Total-FY20 (P&amp;L)'!$B$4:$U$105,19,FALSE),0)</f>
        <v>24096.84</v>
      </c>
      <c r="U41" s="302">
        <f>IFERROR(VLOOKUP($B41,'[5]Budget Total-FY20 (P&amp;L)'!$B$4:$U$105,20,FALSE),0)</f>
        <v>14400</v>
      </c>
      <c r="W41" s="142"/>
    </row>
    <row r="42" spans="2:23" x14ac:dyDescent="0.2">
      <c r="B42" s="266" t="s">
        <v>298</v>
      </c>
      <c r="C42" s="262" t="s">
        <v>139</v>
      </c>
      <c r="D42" s="253">
        <f>IFERROR(VLOOKUP($B42,'[5]Budget Total-FY20 (P&amp;L)'!$B$4:$P$105,3,FALSE),0)</f>
        <v>1299</v>
      </c>
      <c r="E42" s="253">
        <f>IFERROR(VLOOKUP($B42,'[5]Budget Total-FY20 (P&amp;L)'!$B$4:$P$105,4,FALSE),0)</f>
        <v>550</v>
      </c>
      <c r="F42" s="253">
        <f>IFERROR(VLOOKUP($B42,'[5]Budget Total-FY20 (P&amp;L)'!$B$4:$P$105,5,FALSE),0)</f>
        <v>1890</v>
      </c>
      <c r="G42" s="253">
        <f>IFERROR(VLOOKUP($B42,'[5]Budget Total-FY20 (P&amp;L)'!$B$4:$P$105,6,FALSE),0)</f>
        <v>924</v>
      </c>
      <c r="H42" s="253">
        <f>IFERROR(VLOOKUP($B42,'[5]Budget Total-FY20 (P&amp;L)'!$B$4:$P$105,7,FALSE),0)</f>
        <v>1550</v>
      </c>
      <c r="I42" s="253">
        <f>IFERROR(VLOOKUP($B42,'[5]Budget Total-FY20 (P&amp;L)'!$B$4:$P$105,8,FALSE),0)</f>
        <v>2050</v>
      </c>
      <c r="J42" s="253">
        <f>IFERROR(VLOOKUP($B42,'[5]Budget Total-FY20 (P&amp;L)'!$B$4:$P$105,9,FALSE),0)</f>
        <v>845</v>
      </c>
      <c r="K42" s="253">
        <f>IFERROR(VLOOKUP($B42,'[5]Budget Total-FY20 (P&amp;L)'!$B$4:$P$105,10,FALSE),0)</f>
        <v>335</v>
      </c>
      <c r="L42" s="253">
        <f>IFERROR(VLOOKUP($B42,'[5]Budget Total-FY20 (P&amp;L)'!$B$4:$P$105,11,FALSE),0)</f>
        <v>4050</v>
      </c>
      <c r="M42" s="253">
        <f>IFERROR(VLOOKUP($B42,'[5]Budget Total-FY20 (P&amp;L)'!$B$4:$P$105,12,FALSE),0)</f>
        <v>500</v>
      </c>
      <c r="N42" s="253">
        <f>IFERROR(VLOOKUP($B42,'[5]Budget Total-FY20 (P&amp;L)'!$B$4:$P$105,13,FALSE),0)</f>
        <v>5082</v>
      </c>
      <c r="O42" s="253">
        <f>IFERROR(VLOOKUP($B42,'[5]Budget Total-FY20 (P&amp;L)'!$B$4:$P$105,14,FALSE),0)</f>
        <v>925</v>
      </c>
      <c r="P42" s="306">
        <f t="shared" si="3"/>
        <v>20000</v>
      </c>
      <c r="Q42" s="307"/>
      <c r="R42" s="304"/>
      <c r="S42" s="302">
        <f t="shared" si="4"/>
        <v>20000</v>
      </c>
      <c r="T42" s="307">
        <f>IFERROR(VLOOKUP($B42,'[5]Budget Total-FY20 (P&amp;L)'!$B$4:$U$105,19,FALSE),0)</f>
        <v>20255.71</v>
      </c>
      <c r="U42" s="302">
        <f>IFERROR(VLOOKUP($B42,'[5]Budget Total-FY20 (P&amp;L)'!$B$4:$U$105,20,FALSE),0)</f>
        <v>29906</v>
      </c>
      <c r="W42" s="142"/>
    </row>
    <row r="43" spans="2:23" x14ac:dyDescent="0.2">
      <c r="B43" s="265">
        <v>5571</v>
      </c>
      <c r="C43" s="262" t="s">
        <v>140</v>
      </c>
      <c r="D43" s="253">
        <f>IFERROR(VLOOKUP($B43,'[5]Budget Total-FY20 (P&amp;L)'!$B$4:$P$105,3,FALSE),0)</f>
        <v>2500</v>
      </c>
      <c r="E43" s="253">
        <f>IFERROR(VLOOKUP($B43,'[5]Budget Total-FY20 (P&amp;L)'!$B$4:$P$105,4,FALSE),0)</f>
        <v>2500</v>
      </c>
      <c r="F43" s="253">
        <f>IFERROR(VLOOKUP($B43,'[5]Budget Total-FY20 (P&amp;L)'!$B$4:$P$105,5,FALSE),0)</f>
        <v>2500</v>
      </c>
      <c r="G43" s="253">
        <f>IFERROR(VLOOKUP($B43,'[5]Budget Total-FY20 (P&amp;L)'!$B$4:$P$105,6,FALSE),0)</f>
        <v>2500</v>
      </c>
      <c r="H43" s="253">
        <f>IFERROR(VLOOKUP($B43,'[5]Budget Total-FY20 (P&amp;L)'!$B$4:$P$105,7,FALSE),0)</f>
        <v>2500</v>
      </c>
      <c r="I43" s="253">
        <f>IFERROR(VLOOKUP($B43,'[5]Budget Total-FY20 (P&amp;L)'!$B$4:$P$105,8,FALSE),0)</f>
        <v>2500</v>
      </c>
      <c r="J43" s="253">
        <f>IFERROR(VLOOKUP($B43,'[5]Budget Total-FY20 (P&amp;L)'!$B$4:$P$105,9,FALSE),0)</f>
        <v>2500</v>
      </c>
      <c r="K43" s="253">
        <f>IFERROR(VLOOKUP($B43,'[5]Budget Total-FY20 (P&amp;L)'!$B$4:$P$105,10,FALSE),0)</f>
        <v>2500</v>
      </c>
      <c r="L43" s="253">
        <f>IFERROR(VLOOKUP($B43,'[5]Budget Total-FY20 (P&amp;L)'!$B$4:$P$105,11,FALSE),0)</f>
        <v>2500</v>
      </c>
      <c r="M43" s="253">
        <f>IFERROR(VLOOKUP($B43,'[5]Budget Total-FY20 (P&amp;L)'!$B$4:$P$105,12,FALSE),0)</f>
        <v>2500</v>
      </c>
      <c r="N43" s="253">
        <f>IFERROR(VLOOKUP($B43,'[5]Budget Total-FY20 (P&amp;L)'!$B$4:$P$105,13,FALSE),0)</f>
        <v>2500</v>
      </c>
      <c r="O43" s="253">
        <f>IFERROR(VLOOKUP($B43,'[5]Budget Total-FY20 (P&amp;L)'!$B$4:$P$105,14,FALSE),0)</f>
        <v>2500</v>
      </c>
      <c r="P43" s="306">
        <f t="shared" si="3"/>
        <v>30000</v>
      </c>
      <c r="Q43" s="307"/>
      <c r="R43" s="304"/>
      <c r="S43" s="302">
        <f t="shared" si="4"/>
        <v>30000</v>
      </c>
      <c r="T43" s="307">
        <f>IFERROR(VLOOKUP($B43,'[5]Budget Total-FY20 (P&amp;L)'!$B$4:$U$105,19,FALSE),0)</f>
        <v>16442.75</v>
      </c>
      <c r="U43" s="302">
        <f>IFERROR(VLOOKUP($B43,'[5]Budget Total-FY20 (P&amp;L)'!$B$4:$U$105,20,FALSE),0)</f>
        <v>30000</v>
      </c>
      <c r="W43" s="142"/>
    </row>
    <row r="44" spans="2:23" ht="11.7" customHeight="1" x14ac:dyDescent="0.2">
      <c r="B44" s="268">
        <v>5118</v>
      </c>
      <c r="C44" s="262" t="s">
        <v>299</v>
      </c>
      <c r="D44" s="253">
        <f>IFERROR(VLOOKUP($B44,'[5]Budget Total-FY20 (P&amp;L)'!$B$4:$P$105,3,FALSE),0)</f>
        <v>0</v>
      </c>
      <c r="E44" s="253">
        <f>IFERROR(VLOOKUP($B44,'[5]Budget Total-FY20 (P&amp;L)'!$B$4:$P$105,4,FALSE),0)</f>
        <v>0</v>
      </c>
      <c r="F44" s="253">
        <f>IFERROR(VLOOKUP($B44,'[5]Budget Total-FY20 (P&amp;L)'!$B$4:$P$105,5,FALSE),0)</f>
        <v>375</v>
      </c>
      <c r="G44" s="253">
        <f>IFERROR(VLOOKUP($B44,'[5]Budget Total-FY20 (P&amp;L)'!$B$4:$P$105,6,FALSE),0)</f>
        <v>0</v>
      </c>
      <c r="H44" s="253">
        <f>IFERROR(VLOOKUP($B44,'[5]Budget Total-FY20 (P&amp;L)'!$B$4:$P$105,7,FALSE),0)</f>
        <v>0</v>
      </c>
      <c r="I44" s="253">
        <f>IFERROR(VLOOKUP($B44,'[5]Budget Total-FY20 (P&amp;L)'!$B$4:$P$105,8,FALSE),0)</f>
        <v>375</v>
      </c>
      <c r="J44" s="253">
        <f>IFERROR(VLOOKUP($B44,'[5]Budget Total-FY20 (P&amp;L)'!$B$4:$P$105,9,FALSE),0)</f>
        <v>0</v>
      </c>
      <c r="K44" s="253">
        <f>IFERROR(VLOOKUP($B44,'[5]Budget Total-FY20 (P&amp;L)'!$B$4:$P$105,10,FALSE),0)</f>
        <v>0</v>
      </c>
      <c r="L44" s="253">
        <f>IFERROR(VLOOKUP($B44,'[5]Budget Total-FY20 (P&amp;L)'!$B$4:$P$105,11,FALSE),0)</f>
        <v>375</v>
      </c>
      <c r="M44" s="253">
        <f>IFERROR(VLOOKUP($B44,'[5]Budget Total-FY20 (P&amp;L)'!$B$4:$P$105,12,FALSE),0)</f>
        <v>0</v>
      </c>
      <c r="N44" s="253">
        <f>IFERROR(VLOOKUP($B44,'[5]Budget Total-FY20 (P&amp;L)'!$B$4:$P$105,13,FALSE),0)</f>
        <v>0</v>
      </c>
      <c r="O44" s="253">
        <f>IFERROR(VLOOKUP($B44,'[5]Budget Total-FY20 (P&amp;L)'!$B$4:$P$105,14,FALSE),0)</f>
        <v>375</v>
      </c>
      <c r="P44" s="306">
        <f t="shared" si="3"/>
        <v>1500</v>
      </c>
      <c r="Q44" s="307"/>
      <c r="R44" s="304"/>
      <c r="S44" s="302">
        <f t="shared" si="4"/>
        <v>1500</v>
      </c>
      <c r="T44" s="307">
        <f>IFERROR(VLOOKUP($B44,'[5]Budget Total-FY20 (P&amp;L)'!$B$4:$U$105,19,FALSE),0)</f>
        <v>2089.6</v>
      </c>
      <c r="U44" s="302">
        <f>IFERROR(VLOOKUP($B44,'[5]Budget Total-FY20 (P&amp;L)'!$B$4:$U$105,20,FALSE),0)</f>
        <v>3000</v>
      </c>
      <c r="W44" s="142"/>
    </row>
    <row r="45" spans="2:23" x14ac:dyDescent="0.2">
      <c r="B45" s="268">
        <v>5123</v>
      </c>
      <c r="C45" s="262" t="s">
        <v>301</v>
      </c>
      <c r="D45" s="253">
        <f>IFERROR(VLOOKUP($B45,'[5]Budget Total-FY20 (P&amp;L)'!$B$4:$P$105,3,FALSE),0)</f>
        <v>0</v>
      </c>
      <c r="E45" s="253">
        <f>IFERROR(VLOOKUP($B45,'[5]Budget Total-FY20 (P&amp;L)'!$B$4:$P$105,4,FALSE),0)</f>
        <v>0</v>
      </c>
      <c r="F45" s="253">
        <f>IFERROR(VLOOKUP($B45,'[5]Budget Total-FY20 (P&amp;L)'!$B$4:$P$105,5,FALSE),0)</f>
        <v>0</v>
      </c>
      <c r="G45" s="253">
        <f>IFERROR(VLOOKUP($B45,'[5]Budget Total-FY20 (P&amp;L)'!$B$4:$P$105,6,FALSE),0)</f>
        <v>0</v>
      </c>
      <c r="H45" s="253">
        <f>IFERROR(VLOOKUP($B45,'[5]Budget Total-FY20 (P&amp;L)'!$B$4:$P$105,7,FALSE),0)</f>
        <v>0</v>
      </c>
      <c r="I45" s="253">
        <f>IFERROR(VLOOKUP($B45,'[5]Budget Total-FY20 (P&amp;L)'!$B$4:$P$105,8,FALSE),0)</f>
        <v>0</v>
      </c>
      <c r="J45" s="253">
        <f>IFERROR(VLOOKUP($B45,'[5]Budget Total-FY20 (P&amp;L)'!$B$4:$P$105,9,FALSE),0)</f>
        <v>0</v>
      </c>
      <c r="K45" s="253">
        <f>IFERROR(VLOOKUP($B45,'[5]Budget Total-FY20 (P&amp;L)'!$B$4:$P$105,10,FALSE),0)</f>
        <v>0</v>
      </c>
      <c r="L45" s="253">
        <f>IFERROR(VLOOKUP($B45,'[5]Budget Total-FY20 (P&amp;L)'!$B$4:$P$105,11,FALSE),0)</f>
        <v>0</v>
      </c>
      <c r="M45" s="253">
        <f>IFERROR(VLOOKUP($B45,'[5]Budget Total-FY20 (P&amp;L)'!$B$4:$P$105,12,FALSE),0)</f>
        <v>0</v>
      </c>
      <c r="N45" s="253">
        <f>IFERROR(VLOOKUP($B45,'[5]Budget Total-FY20 (P&amp;L)'!$B$4:$P$105,13,FALSE),0)</f>
        <v>7500</v>
      </c>
      <c r="O45" s="253">
        <f>IFERROR(VLOOKUP($B45,'[5]Budget Total-FY20 (P&amp;L)'!$B$4:$P$105,14,FALSE),0)</f>
        <v>0</v>
      </c>
      <c r="P45" s="306">
        <f t="shared" si="3"/>
        <v>7500</v>
      </c>
      <c r="Q45" s="307"/>
      <c r="R45" s="304"/>
      <c r="S45" s="302">
        <f t="shared" si="4"/>
        <v>7500</v>
      </c>
      <c r="T45" s="307">
        <f>IFERROR(VLOOKUP($B45,'[5]Budget Total-FY20 (P&amp;L)'!$B$4:$U$105,19,FALSE),0)</f>
        <v>11296.46</v>
      </c>
      <c r="U45" s="302">
        <f>IFERROR(VLOOKUP($B45,'[5]Budget Total-FY20 (P&amp;L)'!$B$4:$U$105,20,FALSE),0)</f>
        <v>15720</v>
      </c>
      <c r="W45" s="142"/>
    </row>
    <row r="46" spans="2:23" x14ac:dyDescent="0.2">
      <c r="B46" s="266">
        <v>5206</v>
      </c>
      <c r="C46" s="262" t="s">
        <v>147</v>
      </c>
      <c r="D46" s="253">
        <f>IFERROR(VLOOKUP($B46,'[5]Budget Total-FY20 (P&amp;L)'!$B$4:$P$105,3,FALSE),0)</f>
        <v>0</v>
      </c>
      <c r="E46" s="253">
        <f>IFERROR(VLOOKUP($B46,'[5]Budget Total-FY20 (P&amp;L)'!$B$4:$P$105,4,FALSE),0)</f>
        <v>0</v>
      </c>
      <c r="F46" s="253">
        <f>IFERROR(VLOOKUP($B46,'[5]Budget Total-FY20 (P&amp;L)'!$B$4:$P$105,5,FALSE),0)</f>
        <v>0</v>
      </c>
      <c r="G46" s="253">
        <f>IFERROR(VLOOKUP($B46,'[5]Budget Total-FY20 (P&amp;L)'!$B$4:$P$105,6,FALSE),0)</f>
        <v>135</v>
      </c>
      <c r="H46" s="253">
        <f>IFERROR(VLOOKUP($B46,'[5]Budget Total-FY20 (P&amp;L)'!$B$4:$P$105,7,FALSE),0)</f>
        <v>0</v>
      </c>
      <c r="I46" s="253">
        <f>IFERROR(VLOOKUP($B46,'[5]Budget Total-FY20 (P&amp;L)'!$B$4:$P$105,8,FALSE),0)</f>
        <v>45</v>
      </c>
      <c r="J46" s="253">
        <f>IFERROR(VLOOKUP($B46,'[5]Budget Total-FY20 (P&amp;L)'!$B$4:$P$105,9,FALSE),0)</f>
        <v>1440</v>
      </c>
      <c r="K46" s="253">
        <f>IFERROR(VLOOKUP($B46,'[5]Budget Total-FY20 (P&amp;L)'!$B$4:$P$105,10,FALSE),0)</f>
        <v>0</v>
      </c>
      <c r="L46" s="253">
        <f>IFERROR(VLOOKUP($B46,'[5]Budget Total-FY20 (P&amp;L)'!$B$4:$P$105,11,FALSE),0)</f>
        <v>45</v>
      </c>
      <c r="M46" s="253">
        <f>IFERROR(VLOOKUP($B46,'[5]Budget Total-FY20 (P&amp;L)'!$B$4:$P$105,12,FALSE),0)</f>
        <v>0</v>
      </c>
      <c r="N46" s="253">
        <f>IFERROR(VLOOKUP($B46,'[5]Budget Total-FY20 (P&amp;L)'!$B$4:$P$105,13,FALSE),0)</f>
        <v>0</v>
      </c>
      <c r="O46" s="253">
        <f>IFERROR(VLOOKUP($B46,'[5]Budget Total-FY20 (P&amp;L)'!$B$4:$P$105,14,FALSE),0)</f>
        <v>0</v>
      </c>
      <c r="P46" s="306">
        <f t="shared" si="3"/>
        <v>1665</v>
      </c>
      <c r="Q46" s="307"/>
      <c r="R46" s="304"/>
      <c r="S46" s="302">
        <f t="shared" si="4"/>
        <v>1665</v>
      </c>
      <c r="T46" s="307">
        <f>IFERROR(VLOOKUP($B46,'[5]Budget Total-FY20 (P&amp;L)'!$B$4:$U$105,19,FALSE),0)</f>
        <v>2025.12</v>
      </c>
      <c r="U46" s="302">
        <f>IFERROR(VLOOKUP($B46,'[5]Budget Total-FY20 (P&amp;L)'!$B$4:$U$105,20,FALSE),0)</f>
        <v>3535</v>
      </c>
      <c r="W46" s="142"/>
    </row>
    <row r="47" spans="2:23" x14ac:dyDescent="0.2">
      <c r="B47" s="268">
        <v>5210</v>
      </c>
      <c r="C47" s="262" t="s">
        <v>148</v>
      </c>
      <c r="D47" s="253">
        <f>IFERROR(VLOOKUP($B47,'[5]Budget Total-FY20 (P&amp;L)'!$B$4:$P$105,3,FALSE),0)</f>
        <v>0</v>
      </c>
      <c r="E47" s="253">
        <f>IFERROR(VLOOKUP($B47,'[5]Budget Total-FY20 (P&amp;L)'!$B$4:$P$105,4,FALSE),0)</f>
        <v>0</v>
      </c>
      <c r="F47" s="253">
        <f>IFERROR(VLOOKUP($B47,'[5]Budget Total-FY20 (P&amp;L)'!$B$4:$P$105,5,FALSE),0)</f>
        <v>0</v>
      </c>
      <c r="G47" s="253">
        <f>IFERROR(VLOOKUP($B47,'[5]Budget Total-FY20 (P&amp;L)'!$B$4:$P$105,6,FALSE),0)</f>
        <v>450</v>
      </c>
      <c r="H47" s="253">
        <f>IFERROR(VLOOKUP($B47,'[5]Budget Total-FY20 (P&amp;L)'!$B$4:$P$105,7,FALSE),0)</f>
        <v>0</v>
      </c>
      <c r="I47" s="253">
        <f>IFERROR(VLOOKUP($B47,'[5]Budget Total-FY20 (P&amp;L)'!$B$4:$P$105,8,FALSE),0)</f>
        <v>0</v>
      </c>
      <c r="J47" s="253">
        <f>IFERROR(VLOOKUP($B47,'[5]Budget Total-FY20 (P&amp;L)'!$B$4:$P$105,9,FALSE),0)</f>
        <v>300</v>
      </c>
      <c r="K47" s="253">
        <f>IFERROR(VLOOKUP($B47,'[5]Budget Total-FY20 (P&amp;L)'!$B$4:$P$105,10,FALSE),0)</f>
        <v>350</v>
      </c>
      <c r="L47" s="253">
        <f>IFERROR(VLOOKUP($B47,'[5]Budget Total-FY20 (P&amp;L)'!$B$4:$P$105,11,FALSE),0)</f>
        <v>0</v>
      </c>
      <c r="M47" s="253">
        <f>IFERROR(VLOOKUP($B47,'[5]Budget Total-FY20 (P&amp;L)'!$B$4:$P$105,12,FALSE),0)</f>
        <v>300</v>
      </c>
      <c r="N47" s="253">
        <f>IFERROR(VLOOKUP($B47,'[5]Budget Total-FY20 (P&amp;L)'!$B$4:$P$105,13,FALSE),0)</f>
        <v>0</v>
      </c>
      <c r="O47" s="253">
        <f>IFERROR(VLOOKUP($B47,'[5]Budget Total-FY20 (P&amp;L)'!$B$4:$P$105,14,FALSE),0)</f>
        <v>0</v>
      </c>
      <c r="P47" s="306">
        <f t="shared" si="3"/>
        <v>1400</v>
      </c>
      <c r="Q47" s="307"/>
      <c r="R47" s="304"/>
      <c r="S47" s="302">
        <f t="shared" si="4"/>
        <v>1400</v>
      </c>
      <c r="T47" s="307">
        <f>IFERROR(VLOOKUP($B47,'[5]Budget Total-FY20 (P&amp;L)'!$B$4:$U$105,19,FALSE),0)</f>
        <v>1472.31</v>
      </c>
      <c r="U47" s="302">
        <f>IFERROR(VLOOKUP($B47,'[5]Budget Total-FY20 (P&amp;L)'!$B$4:$U$105,20,FALSE),0)</f>
        <v>445</v>
      </c>
      <c r="W47" s="142"/>
    </row>
    <row r="48" spans="2:23" x14ac:dyDescent="0.2">
      <c r="B48" s="266" t="s">
        <v>309</v>
      </c>
      <c r="C48" s="262" t="s">
        <v>149</v>
      </c>
      <c r="D48" s="253">
        <f>IFERROR(VLOOKUP($B48,'[5]Budget Total-FY20 (P&amp;L)'!$B$4:$P$105,3,FALSE),0)</f>
        <v>8465.5</v>
      </c>
      <c r="E48" s="253">
        <f>IFERROR(VLOOKUP($B48,'[5]Budget Total-FY20 (P&amp;L)'!$B$4:$P$105,4,FALSE),0)</f>
        <v>221</v>
      </c>
      <c r="F48" s="253">
        <f>IFERROR(VLOOKUP($B48,'[5]Budget Total-FY20 (P&amp;L)'!$B$4:$P$105,5,FALSE),0)</f>
        <v>301</v>
      </c>
      <c r="G48" s="253">
        <f>IFERROR(VLOOKUP($B48,'[5]Budget Total-FY20 (P&amp;L)'!$B$4:$P$105,6,FALSE),0)</f>
        <v>500</v>
      </c>
      <c r="H48" s="253">
        <f>IFERROR(VLOOKUP($B48,'[5]Budget Total-FY20 (P&amp;L)'!$B$4:$P$105,7,FALSE),0)</f>
        <v>922</v>
      </c>
      <c r="I48" s="253">
        <f>IFERROR(VLOOKUP($B48,'[5]Budget Total-FY20 (P&amp;L)'!$B$4:$P$105,8,FALSE),0)</f>
        <v>2456</v>
      </c>
      <c r="J48" s="253">
        <f>IFERROR(VLOOKUP($B48,'[5]Budget Total-FY20 (P&amp;L)'!$B$4:$P$105,9,FALSE),0)</f>
        <v>536</v>
      </c>
      <c r="K48" s="253">
        <f>IFERROR(VLOOKUP($B48,'[5]Budget Total-FY20 (P&amp;L)'!$B$4:$P$105,10,FALSE),0)</f>
        <v>56</v>
      </c>
      <c r="L48" s="253">
        <f>IFERROR(VLOOKUP($B48,'[5]Budget Total-FY20 (P&amp;L)'!$B$4:$P$105,11,FALSE),0)</f>
        <v>56</v>
      </c>
      <c r="M48" s="253">
        <f>IFERROR(VLOOKUP($B48,'[5]Budget Total-FY20 (P&amp;L)'!$B$4:$P$105,12,FALSE),0)</f>
        <v>56</v>
      </c>
      <c r="N48" s="253">
        <f>IFERROR(VLOOKUP($B48,'[5]Budget Total-FY20 (P&amp;L)'!$B$4:$P$105,13,FALSE),0)</f>
        <v>56</v>
      </c>
      <c r="O48" s="253">
        <f>IFERROR(VLOOKUP($B48,'[5]Budget Total-FY20 (P&amp;L)'!$B$4:$P$105,14,FALSE),0)</f>
        <v>10056</v>
      </c>
      <c r="P48" s="306">
        <f t="shared" si="3"/>
        <v>23682</v>
      </c>
      <c r="Q48" s="307"/>
      <c r="R48" s="304"/>
      <c r="S48" s="302">
        <f t="shared" si="4"/>
        <v>23682</v>
      </c>
      <c r="T48" s="307">
        <f>IFERROR(VLOOKUP($B48,'[5]Budget Total-FY20 (P&amp;L)'!$B$4:$U$105,19,FALSE),0)</f>
        <v>23296.46</v>
      </c>
      <c r="U48" s="302">
        <f>IFERROR(VLOOKUP($B48,'[5]Budget Total-FY20 (P&amp;L)'!$B$4:$U$105,20,FALSE),0)</f>
        <v>26245</v>
      </c>
      <c r="W48" s="142"/>
    </row>
    <row r="49" spans="2:23" x14ac:dyDescent="0.2">
      <c r="B49" s="269">
        <v>6560</v>
      </c>
      <c r="C49" s="262" t="s">
        <v>150</v>
      </c>
      <c r="D49" s="253">
        <f>IFERROR(VLOOKUP($B49,'[5]Budget Total-FY20 (P&amp;L)'!$B$4:$P$105,3,FALSE),0)</f>
        <v>10698.156666666666</v>
      </c>
      <c r="E49" s="253">
        <f>IFERROR(VLOOKUP($B49,'[5]Budget Total-FY20 (P&amp;L)'!$B$4:$P$105,4,FALSE),0)</f>
        <v>10698.156666666666</v>
      </c>
      <c r="F49" s="253">
        <f>IFERROR(VLOOKUP($B49,'[5]Budget Total-FY20 (P&amp;L)'!$B$4:$P$105,5,FALSE),0)</f>
        <v>10698.156666666666</v>
      </c>
      <c r="G49" s="253">
        <f>IFERROR(VLOOKUP($B49,'[5]Budget Total-FY20 (P&amp;L)'!$B$4:$P$105,6,FALSE),0)</f>
        <v>10698.156666666666</v>
      </c>
      <c r="H49" s="253">
        <f>IFERROR(VLOOKUP($B49,'[5]Budget Total-FY20 (P&amp;L)'!$B$4:$P$105,7,FALSE),0)</f>
        <v>10698.156666666666</v>
      </c>
      <c r="I49" s="253">
        <f>IFERROR(VLOOKUP($B49,'[5]Budget Total-FY20 (P&amp;L)'!$B$4:$P$105,8,FALSE),0)</f>
        <v>10698.156666666666</v>
      </c>
      <c r="J49" s="253">
        <f>IFERROR(VLOOKUP($B49,'[5]Budget Total-FY20 (P&amp;L)'!$B$4:$P$105,9,FALSE),0)</f>
        <v>10698.156666666666</v>
      </c>
      <c r="K49" s="253">
        <f>IFERROR(VLOOKUP($B49,'[5]Budget Total-FY20 (P&amp;L)'!$B$4:$P$105,10,FALSE),0)</f>
        <v>10698.156666666666</v>
      </c>
      <c r="L49" s="253">
        <f>IFERROR(VLOOKUP($B49,'[5]Budget Total-FY20 (P&amp;L)'!$B$4:$P$105,11,FALSE),0)</f>
        <v>10698.156666666666</v>
      </c>
      <c r="M49" s="253">
        <f>IFERROR(VLOOKUP($B49,'[5]Budget Total-FY20 (P&amp;L)'!$B$4:$P$105,12,FALSE),0)</f>
        <v>10698.156666666666</v>
      </c>
      <c r="N49" s="253">
        <f>IFERROR(VLOOKUP($B49,'[5]Budget Total-FY20 (P&amp;L)'!$B$4:$P$105,13,FALSE),0)</f>
        <v>10698.156666666666</v>
      </c>
      <c r="O49" s="253">
        <f>IFERROR(VLOOKUP($B49,'[5]Budget Total-FY20 (P&amp;L)'!$B$4:$P$105,14,FALSE),0)</f>
        <v>10698.156666666666</v>
      </c>
      <c r="P49" s="306">
        <f t="shared" si="3"/>
        <v>128378</v>
      </c>
      <c r="Q49" s="307"/>
      <c r="R49" s="304"/>
      <c r="S49" s="302">
        <f t="shared" si="4"/>
        <v>128378</v>
      </c>
      <c r="T49" s="307">
        <f>IFERROR(VLOOKUP($B49,'[5]Budget Total-FY20 (P&amp;L)'!$B$4:$U$105,19,FALSE),0)</f>
        <v>68935.199999999997</v>
      </c>
      <c r="U49" s="302">
        <f>IFERROR(VLOOKUP($B49,'[5]Budget Total-FY20 (P&amp;L)'!$B$4:$U$105,20,FALSE),0)</f>
        <v>112637</v>
      </c>
      <c r="W49" s="142"/>
    </row>
    <row r="50" spans="2:23" x14ac:dyDescent="0.2">
      <c r="B50" s="266" t="s">
        <v>310</v>
      </c>
      <c r="C50" s="262" t="s">
        <v>151</v>
      </c>
      <c r="D50" s="253">
        <f>IFERROR(VLOOKUP($B50,'[5]Budget Total-FY20 (P&amp;L)'!$B$4:$P$105,3,FALSE),0)</f>
        <v>3456.3487499999997</v>
      </c>
      <c r="E50" s="253">
        <f>IFERROR(VLOOKUP($B50,'[5]Budget Total-FY20 (P&amp;L)'!$B$4:$P$105,4,FALSE),0)</f>
        <v>3456.3487499999997</v>
      </c>
      <c r="F50" s="253">
        <f>IFERROR(VLOOKUP($B50,'[5]Budget Total-FY20 (P&amp;L)'!$B$4:$P$105,5,FALSE),0)</f>
        <v>3456.3487499999997</v>
      </c>
      <c r="G50" s="253">
        <f>IFERROR(VLOOKUP($B50,'[5]Budget Total-FY20 (P&amp;L)'!$B$4:$P$105,6,FALSE),0)</f>
        <v>3456.3487499999997</v>
      </c>
      <c r="H50" s="253">
        <f>IFERROR(VLOOKUP($B50,'[5]Budget Total-FY20 (P&amp;L)'!$B$4:$P$105,7,FALSE),0)</f>
        <v>3456.3487499999997</v>
      </c>
      <c r="I50" s="253">
        <f>IFERROR(VLOOKUP($B50,'[5]Budget Total-FY20 (P&amp;L)'!$B$4:$P$105,8,FALSE),0)</f>
        <v>3456.3487499999997</v>
      </c>
      <c r="J50" s="253">
        <f>IFERROR(VLOOKUP($B50,'[5]Budget Total-FY20 (P&amp;L)'!$B$4:$P$105,9,FALSE),0)</f>
        <v>3456.3487499999997</v>
      </c>
      <c r="K50" s="253">
        <f>IFERROR(VLOOKUP($B50,'[5]Budget Total-FY20 (P&amp;L)'!$B$4:$P$105,10,FALSE),0)</f>
        <v>3456.3487499999997</v>
      </c>
      <c r="L50" s="253">
        <f>IFERROR(VLOOKUP($B50,'[5]Budget Total-FY20 (P&amp;L)'!$B$4:$P$105,11,FALSE),0)</f>
        <v>3456.3487499999997</v>
      </c>
      <c r="M50" s="253">
        <f>IFERROR(VLOOKUP($B50,'[5]Budget Total-FY20 (P&amp;L)'!$B$4:$P$105,12,FALSE),0)</f>
        <v>3456.3487499999997</v>
      </c>
      <c r="N50" s="253">
        <f>IFERROR(VLOOKUP($B50,'[5]Budget Total-FY20 (P&amp;L)'!$B$4:$P$105,13,FALSE),0)</f>
        <v>3456.3487499999997</v>
      </c>
      <c r="O50" s="253">
        <f>IFERROR(VLOOKUP($B50,'[5]Budget Total-FY20 (P&amp;L)'!$B$4:$P$105,14,FALSE),0)</f>
        <v>-17098.467083333333</v>
      </c>
      <c r="P50" s="306">
        <f t="shared" si="3"/>
        <v>20922</v>
      </c>
      <c r="Q50" s="307"/>
      <c r="R50" s="304"/>
      <c r="S50" s="302">
        <f t="shared" si="4"/>
        <v>20922</v>
      </c>
      <c r="T50" s="307">
        <f>IFERROR(VLOOKUP($B50,'[5]Budget Total-FY20 (P&amp;L)'!$B$4:$U$105,19,FALSE),0)</f>
        <v>10388.549999999999</v>
      </c>
      <c r="U50" s="302">
        <f>IFERROR(VLOOKUP($B50,'[5]Budget Total-FY20 (P&amp;L)'!$B$4:$U$105,20,FALSE),0)</f>
        <v>30593</v>
      </c>
      <c r="W50" s="142"/>
    </row>
    <row r="51" spans="2:23" x14ac:dyDescent="0.2">
      <c r="B51" s="268">
        <v>5215</v>
      </c>
      <c r="C51" s="262" t="s">
        <v>311</v>
      </c>
      <c r="D51" s="253">
        <f>IFERROR(VLOOKUP($B51,'[5]Budget Total-FY20 (P&amp;L)'!$B$4:$P$105,3,FALSE),0)</f>
        <v>50</v>
      </c>
      <c r="E51" s="253">
        <f>IFERROR(VLOOKUP($B51,'[5]Budget Total-FY20 (P&amp;L)'!$B$4:$P$105,4,FALSE),0)</f>
        <v>50</v>
      </c>
      <c r="F51" s="253">
        <f>IFERROR(VLOOKUP($B51,'[5]Budget Total-FY20 (P&amp;L)'!$B$4:$P$105,5,FALSE),0)</f>
        <v>50</v>
      </c>
      <c r="G51" s="253">
        <f>IFERROR(VLOOKUP($B51,'[5]Budget Total-FY20 (P&amp;L)'!$B$4:$P$105,6,FALSE),0)</f>
        <v>50</v>
      </c>
      <c r="H51" s="253">
        <f>IFERROR(VLOOKUP($B51,'[5]Budget Total-FY20 (P&amp;L)'!$B$4:$P$105,7,FALSE),0)</f>
        <v>50</v>
      </c>
      <c r="I51" s="253">
        <f>IFERROR(VLOOKUP($B51,'[5]Budget Total-FY20 (P&amp;L)'!$B$4:$P$105,8,FALSE),0)</f>
        <v>50</v>
      </c>
      <c r="J51" s="253">
        <f>IFERROR(VLOOKUP($B51,'[5]Budget Total-FY20 (P&amp;L)'!$B$4:$P$105,9,FALSE),0)</f>
        <v>50</v>
      </c>
      <c r="K51" s="253">
        <f>IFERROR(VLOOKUP($B51,'[5]Budget Total-FY20 (P&amp;L)'!$B$4:$P$105,10,FALSE),0)</f>
        <v>50</v>
      </c>
      <c r="L51" s="253">
        <f>IFERROR(VLOOKUP($B51,'[5]Budget Total-FY20 (P&amp;L)'!$B$4:$P$105,11,FALSE),0)</f>
        <v>50</v>
      </c>
      <c r="M51" s="253">
        <f>IFERROR(VLOOKUP($B51,'[5]Budget Total-FY20 (P&amp;L)'!$B$4:$P$105,12,FALSE),0)</f>
        <v>50</v>
      </c>
      <c r="N51" s="253">
        <f>IFERROR(VLOOKUP($B51,'[5]Budget Total-FY20 (P&amp;L)'!$B$4:$P$105,13,FALSE),0)</f>
        <v>50</v>
      </c>
      <c r="O51" s="253">
        <f>IFERROR(VLOOKUP($B51,'[5]Budget Total-FY20 (P&amp;L)'!$B$4:$P$105,14,FALSE),0)</f>
        <v>50</v>
      </c>
      <c r="P51" s="306">
        <f t="shared" si="3"/>
        <v>600</v>
      </c>
      <c r="Q51" s="307"/>
      <c r="R51" s="304"/>
      <c r="S51" s="302">
        <f t="shared" si="4"/>
        <v>600</v>
      </c>
      <c r="T51" s="307">
        <f>IFERROR(VLOOKUP($B51,'[5]Budget Total-FY20 (P&amp;L)'!$B$4:$U$105,19,FALSE),0)</f>
        <v>463.61</v>
      </c>
      <c r="U51" s="302">
        <f>IFERROR(VLOOKUP($B51,'[5]Budget Total-FY20 (P&amp;L)'!$B$4:$U$105,20,FALSE),0)</f>
        <v>0</v>
      </c>
      <c r="W51" s="142"/>
    </row>
    <row r="52" spans="2:23" x14ac:dyDescent="0.2">
      <c r="B52" s="265">
        <v>8300</v>
      </c>
      <c r="C52" s="262" t="s">
        <v>155</v>
      </c>
      <c r="D52" s="253">
        <f>IFERROR(VLOOKUP($B52,'[5]Budget Total-FY20 (P&amp;L)'!$B$4:$P$105,3,FALSE),0)</f>
        <v>1000</v>
      </c>
      <c r="E52" s="253">
        <f>IFERROR(VLOOKUP($B52,'[5]Budget Total-FY20 (P&amp;L)'!$B$4:$P$105,4,FALSE),0)</f>
        <v>325</v>
      </c>
      <c r="F52" s="253">
        <f>IFERROR(VLOOKUP($B52,'[5]Budget Total-FY20 (P&amp;L)'!$B$4:$P$105,5,FALSE),0)</f>
        <v>200</v>
      </c>
      <c r="G52" s="253">
        <f>IFERROR(VLOOKUP($B52,'[5]Budget Total-FY20 (P&amp;L)'!$B$4:$P$105,6,FALSE),0)</f>
        <v>1850</v>
      </c>
      <c r="H52" s="253">
        <f>IFERROR(VLOOKUP($B52,'[5]Budget Total-FY20 (P&amp;L)'!$B$4:$P$105,7,FALSE),0)</f>
        <v>495</v>
      </c>
      <c r="I52" s="253">
        <f>IFERROR(VLOOKUP($B52,'[5]Budget Total-FY20 (P&amp;L)'!$B$4:$P$105,8,FALSE),0)</f>
        <v>100</v>
      </c>
      <c r="J52" s="253">
        <f>IFERROR(VLOOKUP($B52,'[5]Budget Total-FY20 (P&amp;L)'!$B$4:$P$105,9,FALSE),0)</f>
        <v>500</v>
      </c>
      <c r="K52" s="253">
        <f>IFERROR(VLOOKUP($B52,'[5]Budget Total-FY20 (P&amp;L)'!$B$4:$P$105,10,FALSE),0)</f>
        <v>300</v>
      </c>
      <c r="L52" s="253">
        <f>IFERROR(VLOOKUP($B52,'[5]Budget Total-FY20 (P&amp;L)'!$B$4:$P$105,11,FALSE),0)</f>
        <v>325</v>
      </c>
      <c r="M52" s="253">
        <f>IFERROR(VLOOKUP($B52,'[5]Budget Total-FY20 (P&amp;L)'!$B$4:$P$105,12,FALSE),0)</f>
        <v>1850</v>
      </c>
      <c r="N52" s="253">
        <f>IFERROR(VLOOKUP($B52,'[5]Budget Total-FY20 (P&amp;L)'!$B$4:$P$105,13,FALSE),0)</f>
        <v>300</v>
      </c>
      <c r="O52" s="253">
        <f>IFERROR(VLOOKUP($B52,'[5]Budget Total-FY20 (P&amp;L)'!$B$4:$P$105,14,FALSE),0)</f>
        <v>11350</v>
      </c>
      <c r="P52" s="306">
        <f t="shared" si="3"/>
        <v>18595</v>
      </c>
      <c r="Q52" s="307"/>
      <c r="R52" s="304"/>
      <c r="S52" s="302">
        <f t="shared" si="4"/>
        <v>18595</v>
      </c>
      <c r="T52" s="307">
        <f>IFERROR(VLOOKUP($B52,'[5]Budget Total-FY20 (P&amp;L)'!$B$4:$U$105,19,FALSE),0)</f>
        <v>3984.69</v>
      </c>
      <c r="U52" s="302">
        <f>IFERROR(VLOOKUP($B52,'[5]Budget Total-FY20 (P&amp;L)'!$B$4:$U$105,20,FALSE),0)</f>
        <v>6607</v>
      </c>
      <c r="W52" s="142"/>
    </row>
    <row r="53" spans="2:23" x14ac:dyDescent="0.2">
      <c r="B53" s="268">
        <v>5211</v>
      </c>
      <c r="C53" s="262" t="s">
        <v>312</v>
      </c>
      <c r="D53" s="253">
        <f>IFERROR(VLOOKUP($B53,'[5]Budget Total-FY20 (P&amp;L)'!$B$4:$P$105,3,FALSE),0)</f>
        <v>100</v>
      </c>
      <c r="E53" s="253">
        <f>IFERROR(VLOOKUP($B53,'[5]Budget Total-FY20 (P&amp;L)'!$B$4:$P$105,4,FALSE),0)</f>
        <v>100</v>
      </c>
      <c r="F53" s="253">
        <f>IFERROR(VLOOKUP($B53,'[5]Budget Total-FY20 (P&amp;L)'!$B$4:$P$105,5,FALSE),0)</f>
        <v>100</v>
      </c>
      <c r="G53" s="253">
        <f>IFERROR(VLOOKUP($B53,'[5]Budget Total-FY20 (P&amp;L)'!$B$4:$P$105,6,FALSE),0)</f>
        <v>100</v>
      </c>
      <c r="H53" s="253">
        <f>IFERROR(VLOOKUP($B53,'[5]Budget Total-FY20 (P&amp;L)'!$B$4:$P$105,7,FALSE),0)</f>
        <v>100</v>
      </c>
      <c r="I53" s="253">
        <f>IFERROR(VLOOKUP($B53,'[5]Budget Total-FY20 (P&amp;L)'!$B$4:$P$105,8,FALSE),0)</f>
        <v>100</v>
      </c>
      <c r="J53" s="253">
        <f>IFERROR(VLOOKUP($B53,'[5]Budget Total-FY20 (P&amp;L)'!$B$4:$P$105,9,FALSE),0)</f>
        <v>100</v>
      </c>
      <c r="K53" s="253">
        <f>IFERROR(VLOOKUP($B53,'[5]Budget Total-FY20 (P&amp;L)'!$B$4:$P$105,10,FALSE),0)</f>
        <v>100</v>
      </c>
      <c r="L53" s="253">
        <f>IFERROR(VLOOKUP($B53,'[5]Budget Total-FY20 (P&amp;L)'!$B$4:$P$105,11,FALSE),0)</f>
        <v>100</v>
      </c>
      <c r="M53" s="253">
        <f>IFERROR(VLOOKUP($B53,'[5]Budget Total-FY20 (P&amp;L)'!$B$4:$P$105,12,FALSE),0)</f>
        <v>100</v>
      </c>
      <c r="N53" s="253">
        <f>IFERROR(VLOOKUP($B53,'[5]Budget Total-FY20 (P&amp;L)'!$B$4:$P$105,13,FALSE),0)</f>
        <v>100</v>
      </c>
      <c r="O53" s="253">
        <f>IFERROR(VLOOKUP($B53,'[5]Budget Total-FY20 (P&amp;L)'!$B$4:$P$105,14,FALSE),0)</f>
        <v>100</v>
      </c>
      <c r="P53" s="306">
        <f t="shared" si="3"/>
        <v>1200</v>
      </c>
      <c r="Q53" s="307"/>
      <c r="R53" s="304"/>
      <c r="S53" s="302">
        <f t="shared" si="4"/>
        <v>1200</v>
      </c>
      <c r="T53" s="307">
        <f>IFERROR(VLOOKUP($B53,'[5]Budget Total-FY20 (P&amp;L)'!$B$4:$U$105,19,FALSE),0)</f>
        <v>78.45</v>
      </c>
      <c r="U53" s="302">
        <f>IFERROR(VLOOKUP($B53,'[5]Budget Total-FY20 (P&amp;L)'!$B$4:$U$105,20,FALSE),0)</f>
        <v>875</v>
      </c>
      <c r="W53" s="142"/>
    </row>
    <row r="54" spans="2:23" x14ac:dyDescent="0.2">
      <c r="B54" s="265">
        <v>5410</v>
      </c>
      <c r="C54" s="262" t="s">
        <v>158</v>
      </c>
      <c r="D54" s="253">
        <f>IFERROR(VLOOKUP($B54,'[5]Budget Total-FY20 (P&amp;L)'!$B$4:$P$105,3,FALSE),0)</f>
        <v>2803.16</v>
      </c>
      <c r="E54" s="253">
        <f>IFERROR(VLOOKUP($B54,'[5]Budget Total-FY20 (P&amp;L)'!$B$4:$P$105,4,FALSE),0)</f>
        <v>2878.48</v>
      </c>
      <c r="F54" s="253">
        <f>IFERROR(VLOOKUP($B54,'[5]Budget Total-FY20 (P&amp;L)'!$B$4:$P$105,5,FALSE),0)</f>
        <v>2860.65</v>
      </c>
      <c r="G54" s="253">
        <f>IFERROR(VLOOKUP($B54,'[5]Budget Total-FY20 (P&amp;L)'!$B$4:$P$105,6,FALSE),0)</f>
        <v>2751.05</v>
      </c>
      <c r="H54" s="253">
        <f>IFERROR(VLOOKUP($B54,'[5]Budget Total-FY20 (P&amp;L)'!$B$4:$P$105,7,FALSE),0)</f>
        <v>2824.43</v>
      </c>
      <c r="I54" s="253">
        <f>IFERROR(VLOOKUP($B54,'[5]Budget Total-FY20 (P&amp;L)'!$B$4:$P$105,8,FALSE),0)</f>
        <v>2715.86</v>
      </c>
      <c r="J54" s="253">
        <f>IFERROR(VLOOKUP($B54,'[5]Budget Total-FY20 (P&amp;L)'!$B$4:$P$105,9,FALSE),0)</f>
        <v>2787.93</v>
      </c>
      <c r="K54" s="253">
        <f>IFERROR(VLOOKUP($B54,'[5]Budget Total-FY20 (P&amp;L)'!$B$4:$P$105,10,FALSE),0)</f>
        <v>2769.75</v>
      </c>
      <c r="L54" s="253">
        <f>IFERROR(VLOOKUP($B54,'[5]Budget Total-FY20 (P&amp;L)'!$B$4:$P$105,11,FALSE),0)</f>
        <v>2573.98</v>
      </c>
      <c r="M54" s="253">
        <f>IFERROR(VLOOKUP($B54,'[5]Budget Total-FY20 (P&amp;L)'!$B$4:$P$105,12,FALSE),0)</f>
        <v>2732.49</v>
      </c>
      <c r="N54" s="253">
        <f>IFERROR(VLOOKUP($B54,'[5]Budget Total-FY20 (P&amp;L)'!$B$4:$P$105,13,FALSE),0)</f>
        <v>2626.54</v>
      </c>
      <c r="O54" s="253">
        <f>IFERROR(VLOOKUP($B54,'[5]Budget Total-FY20 (P&amp;L)'!$B$4:$P$105,14,FALSE),0)</f>
        <v>2695.29</v>
      </c>
      <c r="P54" s="306">
        <f t="shared" si="3"/>
        <v>33020</v>
      </c>
      <c r="Q54" s="307"/>
      <c r="R54" s="304"/>
      <c r="S54" s="302">
        <f t="shared" si="4"/>
        <v>33020</v>
      </c>
      <c r="T54" s="307">
        <f>IFERROR(VLOOKUP($B54,'[5]Budget Total-FY20 (P&amp;L)'!$B$4:$U$105,19,FALSE),0)</f>
        <v>26757.78</v>
      </c>
      <c r="U54" s="302">
        <f>IFERROR(VLOOKUP($B54,'[5]Budget Total-FY20 (P&amp;L)'!$B$4:$U$105,20,FALSE),0)</f>
        <v>35460</v>
      </c>
      <c r="W54" s="142"/>
    </row>
    <row r="55" spans="2:23" x14ac:dyDescent="0.2">
      <c r="B55" s="268">
        <v>5220</v>
      </c>
      <c r="C55" s="262" t="s">
        <v>159</v>
      </c>
      <c r="D55" s="253">
        <f>IFERROR(VLOOKUP($B55,'[5]Budget Total-FY20 (P&amp;L)'!$B$4:$P$105,3,FALSE),0)</f>
        <v>0</v>
      </c>
      <c r="E55" s="253">
        <f>IFERROR(VLOOKUP($B55,'[5]Budget Total-FY20 (P&amp;L)'!$B$4:$P$105,4,FALSE),0)</f>
        <v>0</v>
      </c>
      <c r="F55" s="253">
        <f>IFERROR(VLOOKUP($B55,'[5]Budget Total-FY20 (P&amp;L)'!$B$4:$P$105,5,FALSE),0)</f>
        <v>17500</v>
      </c>
      <c r="G55" s="253">
        <f>IFERROR(VLOOKUP($B55,'[5]Budget Total-FY20 (P&amp;L)'!$B$4:$P$105,6,FALSE),0)</f>
        <v>0</v>
      </c>
      <c r="H55" s="253">
        <f>IFERROR(VLOOKUP($B55,'[5]Budget Total-FY20 (P&amp;L)'!$B$4:$P$105,7,FALSE),0)</f>
        <v>0</v>
      </c>
      <c r="I55" s="253">
        <f>IFERROR(VLOOKUP($B55,'[5]Budget Total-FY20 (P&amp;L)'!$B$4:$P$105,8,FALSE),0)</f>
        <v>17500</v>
      </c>
      <c r="J55" s="253">
        <f>IFERROR(VLOOKUP($B55,'[5]Budget Total-FY20 (P&amp;L)'!$B$4:$P$105,9,FALSE),0)</f>
        <v>0</v>
      </c>
      <c r="K55" s="253">
        <f>IFERROR(VLOOKUP($B55,'[5]Budget Total-FY20 (P&amp;L)'!$B$4:$P$105,10,FALSE),0)</f>
        <v>0</v>
      </c>
      <c r="L55" s="253">
        <f>IFERROR(VLOOKUP($B55,'[5]Budget Total-FY20 (P&amp;L)'!$B$4:$P$105,11,FALSE),0)</f>
        <v>17500</v>
      </c>
      <c r="M55" s="253">
        <f>IFERROR(VLOOKUP($B55,'[5]Budget Total-FY20 (P&amp;L)'!$B$4:$P$105,12,FALSE),0)</f>
        <v>0</v>
      </c>
      <c r="N55" s="253">
        <f>IFERROR(VLOOKUP($B55,'[5]Budget Total-FY20 (P&amp;L)'!$B$4:$P$105,13,FALSE),0)</f>
        <v>0</v>
      </c>
      <c r="O55" s="253">
        <f>IFERROR(VLOOKUP($B55,'[5]Budget Total-FY20 (P&amp;L)'!$B$4:$P$105,14,FALSE),0)</f>
        <v>17500</v>
      </c>
      <c r="P55" s="306">
        <f t="shared" si="3"/>
        <v>70000</v>
      </c>
      <c r="Q55" s="307"/>
      <c r="R55" s="304"/>
      <c r="S55" s="302">
        <f t="shared" si="4"/>
        <v>70000</v>
      </c>
      <c r="T55" s="307">
        <f>IFERROR(VLOOKUP($B55,'[5]Budget Total-FY20 (P&amp;L)'!$B$4:$U$105,19,FALSE),0)</f>
        <v>48750</v>
      </c>
      <c r="U55" s="302">
        <f>IFERROR(VLOOKUP($B55,'[5]Budget Total-FY20 (P&amp;L)'!$B$4:$U$105,20,FALSE),0)</f>
        <v>65000</v>
      </c>
      <c r="W55" s="142"/>
    </row>
    <row r="56" spans="2:23" x14ac:dyDescent="0.2">
      <c r="B56" s="266" t="s">
        <v>313</v>
      </c>
      <c r="C56" s="262" t="s">
        <v>160</v>
      </c>
      <c r="D56" s="253">
        <f>IFERROR(VLOOKUP($B56,'[5]Budget Total-FY20 (P&amp;L)'!$B$4:$P$105,3,FALSE),0)</f>
        <v>3398.99</v>
      </c>
      <c r="E56" s="253">
        <f>IFERROR(VLOOKUP($B56,'[5]Budget Total-FY20 (P&amp;L)'!$B$4:$P$105,4,FALSE),0)</f>
        <v>1848.99</v>
      </c>
      <c r="F56" s="253">
        <f>IFERROR(VLOOKUP($B56,'[5]Budget Total-FY20 (P&amp;L)'!$B$4:$P$105,5,FALSE),0)</f>
        <v>10398.99</v>
      </c>
      <c r="G56" s="253">
        <f>IFERROR(VLOOKUP($B56,'[5]Budget Total-FY20 (P&amp;L)'!$B$4:$P$105,6,FALSE),0)</f>
        <v>1848.99</v>
      </c>
      <c r="H56" s="253">
        <f>IFERROR(VLOOKUP($B56,'[5]Budget Total-FY20 (P&amp;L)'!$B$4:$P$105,7,FALSE),0)</f>
        <v>2208.94</v>
      </c>
      <c r="I56" s="253">
        <f>IFERROR(VLOOKUP($B56,'[5]Budget Total-FY20 (P&amp;L)'!$B$4:$P$105,8,FALSE),0)</f>
        <v>4923.49</v>
      </c>
      <c r="J56" s="253">
        <f>IFERROR(VLOOKUP($B56,'[5]Budget Total-FY20 (P&amp;L)'!$B$4:$P$105,9,FALSE),0)</f>
        <v>1898.99</v>
      </c>
      <c r="K56" s="253">
        <f>IFERROR(VLOOKUP($B56,'[5]Budget Total-FY20 (P&amp;L)'!$B$4:$P$105,10,FALSE),0)</f>
        <v>1848.99</v>
      </c>
      <c r="L56" s="253">
        <f>IFERROR(VLOOKUP($B56,'[5]Budget Total-FY20 (P&amp;L)'!$B$4:$P$105,11,FALSE),0)</f>
        <v>4898.99</v>
      </c>
      <c r="M56" s="253">
        <f>IFERROR(VLOOKUP($B56,'[5]Budget Total-FY20 (P&amp;L)'!$B$4:$P$105,12,FALSE),0)</f>
        <v>1848.99</v>
      </c>
      <c r="N56" s="253">
        <f>IFERROR(VLOOKUP($B56,'[5]Budget Total-FY20 (P&amp;L)'!$B$4:$P$105,13,FALSE),0)</f>
        <v>6636.99</v>
      </c>
      <c r="O56" s="253">
        <f>IFERROR(VLOOKUP($B56,'[5]Budget Total-FY20 (P&amp;L)'!$B$4:$P$105,14,FALSE),0)</f>
        <v>4898.99</v>
      </c>
      <c r="P56" s="306">
        <f t="shared" si="3"/>
        <v>46661</v>
      </c>
      <c r="Q56" s="307"/>
      <c r="R56" s="304"/>
      <c r="S56" s="302">
        <f t="shared" si="4"/>
        <v>46661</v>
      </c>
      <c r="T56" s="307">
        <f>IFERROR(VLOOKUP($B56,'[5]Budget Total-FY20 (P&amp;L)'!$B$4:$U$105,19,FALSE),0)</f>
        <v>26968.59</v>
      </c>
      <c r="U56" s="302">
        <f>IFERROR(VLOOKUP($B56,'[5]Budget Total-FY20 (P&amp;L)'!$B$4:$U$105,20,FALSE),0)</f>
        <v>39517.9</v>
      </c>
      <c r="W56" s="142"/>
    </row>
    <row r="57" spans="2:23" x14ac:dyDescent="0.2">
      <c r="B57" s="266" t="s">
        <v>314</v>
      </c>
      <c r="C57" s="262" t="s">
        <v>315</v>
      </c>
      <c r="D57" s="253">
        <f>IFERROR(VLOOKUP($B57,'[5]Budget Total-FY20 (P&amp;L)'!$B$4:$P$105,3,FALSE),0)</f>
        <v>1098</v>
      </c>
      <c r="E57" s="253">
        <f>IFERROR(VLOOKUP($B57,'[5]Budget Total-FY20 (P&amp;L)'!$B$4:$P$105,4,FALSE),0)</f>
        <v>1048</v>
      </c>
      <c r="F57" s="253">
        <f>IFERROR(VLOOKUP($B57,'[5]Budget Total-FY20 (P&amp;L)'!$B$4:$P$105,5,FALSE),0)</f>
        <v>1048</v>
      </c>
      <c r="G57" s="253">
        <f>IFERROR(VLOOKUP($B57,'[5]Budget Total-FY20 (P&amp;L)'!$B$4:$P$105,6,FALSE),0)</f>
        <v>1048</v>
      </c>
      <c r="H57" s="253">
        <f>IFERROR(VLOOKUP($B57,'[5]Budget Total-FY20 (P&amp;L)'!$B$4:$P$105,7,FALSE),0)</f>
        <v>1048</v>
      </c>
      <c r="I57" s="253">
        <f>IFERROR(VLOOKUP($B57,'[5]Budget Total-FY20 (P&amp;L)'!$B$4:$P$105,8,FALSE),0)</f>
        <v>1048</v>
      </c>
      <c r="J57" s="253">
        <f>IFERROR(VLOOKUP($B57,'[5]Budget Total-FY20 (P&amp;L)'!$B$4:$P$105,9,FALSE),0)</f>
        <v>1501</v>
      </c>
      <c r="K57" s="253">
        <f>IFERROR(VLOOKUP($B57,'[5]Budget Total-FY20 (P&amp;L)'!$B$4:$P$105,10,FALSE),0)</f>
        <v>1048</v>
      </c>
      <c r="L57" s="253">
        <f>IFERROR(VLOOKUP($B57,'[5]Budget Total-FY20 (P&amp;L)'!$B$4:$P$105,11,FALSE),0)</f>
        <v>1048</v>
      </c>
      <c r="M57" s="253">
        <f>IFERROR(VLOOKUP($B57,'[5]Budget Total-FY20 (P&amp;L)'!$B$4:$P$105,12,FALSE),0)</f>
        <v>1048</v>
      </c>
      <c r="N57" s="253">
        <f>IFERROR(VLOOKUP($B57,'[5]Budget Total-FY20 (P&amp;L)'!$B$4:$P$105,13,FALSE),0)</f>
        <v>1048</v>
      </c>
      <c r="O57" s="253">
        <f>IFERROR(VLOOKUP($B57,'[5]Budget Total-FY20 (P&amp;L)'!$B$4:$P$105,14,FALSE),0)</f>
        <v>1048</v>
      </c>
      <c r="P57" s="306">
        <f t="shared" si="3"/>
        <v>13079</v>
      </c>
      <c r="Q57" s="307"/>
      <c r="R57" s="304"/>
      <c r="S57" s="302">
        <f t="shared" si="4"/>
        <v>13079</v>
      </c>
      <c r="T57" s="307">
        <f>IFERROR(VLOOKUP($B57,'[5]Budget Total-FY20 (P&amp;L)'!$B$4:$U$105,19,FALSE),0)</f>
        <v>10814.039999999997</v>
      </c>
      <c r="U57" s="302">
        <f>IFERROR(VLOOKUP($B57,'[5]Budget Total-FY20 (P&amp;L)'!$B$4:$U$105,20,FALSE),0)</f>
        <v>17942</v>
      </c>
      <c r="W57" s="142"/>
    </row>
    <row r="58" spans="2:23" x14ac:dyDescent="0.2">
      <c r="B58" s="266" t="s">
        <v>316</v>
      </c>
      <c r="C58" s="262" t="s">
        <v>162</v>
      </c>
      <c r="D58" s="253">
        <f>IFERROR(VLOOKUP($B58,'[5]Budget Total-FY20 (P&amp;L)'!$B$4:$P$105,3,FALSE),0)</f>
        <v>0</v>
      </c>
      <c r="E58" s="253">
        <f>IFERROR(VLOOKUP($B58,'[5]Budget Total-FY20 (P&amp;L)'!$B$4:$P$105,4,FALSE),0)</f>
        <v>325</v>
      </c>
      <c r="F58" s="253">
        <f>IFERROR(VLOOKUP($B58,'[5]Budget Total-FY20 (P&amp;L)'!$B$4:$P$105,5,FALSE),0)</f>
        <v>0</v>
      </c>
      <c r="G58" s="253">
        <f>IFERROR(VLOOKUP($B58,'[5]Budget Total-FY20 (P&amp;L)'!$B$4:$P$105,6,FALSE),0)</f>
        <v>1000</v>
      </c>
      <c r="H58" s="253">
        <f>IFERROR(VLOOKUP($B58,'[5]Budget Total-FY20 (P&amp;L)'!$B$4:$P$105,7,FALSE),0)</f>
        <v>0</v>
      </c>
      <c r="I58" s="253">
        <f>IFERROR(VLOOKUP($B58,'[5]Budget Total-FY20 (P&amp;L)'!$B$4:$P$105,8,FALSE),0)</f>
        <v>325</v>
      </c>
      <c r="J58" s="253">
        <f>IFERROR(VLOOKUP($B58,'[5]Budget Total-FY20 (P&amp;L)'!$B$4:$P$105,9,FALSE),0)</f>
        <v>0</v>
      </c>
      <c r="K58" s="253">
        <f>IFERROR(VLOOKUP($B58,'[5]Budget Total-FY20 (P&amp;L)'!$B$4:$P$105,10,FALSE),0)</f>
        <v>500</v>
      </c>
      <c r="L58" s="253">
        <f>IFERROR(VLOOKUP($B58,'[5]Budget Total-FY20 (P&amp;L)'!$B$4:$P$105,11,FALSE),0)</f>
        <v>0</v>
      </c>
      <c r="M58" s="253">
        <f>IFERROR(VLOOKUP($B58,'[5]Budget Total-FY20 (P&amp;L)'!$B$4:$P$105,12,FALSE),0)</f>
        <v>325</v>
      </c>
      <c r="N58" s="253">
        <f>IFERROR(VLOOKUP($B58,'[5]Budget Total-FY20 (P&amp;L)'!$B$4:$P$105,13,FALSE),0)</f>
        <v>0</v>
      </c>
      <c r="O58" s="253">
        <f>IFERROR(VLOOKUP($B58,'[5]Budget Total-FY20 (P&amp;L)'!$B$4:$P$105,14,FALSE),0)</f>
        <v>1000</v>
      </c>
      <c r="P58" s="306">
        <f t="shared" si="3"/>
        <v>3475</v>
      </c>
      <c r="Q58" s="307"/>
      <c r="R58" s="304"/>
      <c r="S58" s="302">
        <f t="shared" si="4"/>
        <v>3475</v>
      </c>
      <c r="T58" s="307">
        <f>IFERROR(VLOOKUP($B58,'[5]Budget Total-FY20 (P&amp;L)'!$B$4:$U$105,19,FALSE),0)</f>
        <v>6008.25</v>
      </c>
      <c r="U58" s="302">
        <f>IFERROR(VLOOKUP($B58,'[5]Budget Total-FY20 (P&amp;L)'!$B$4:$U$105,20,FALSE),0)</f>
        <v>3075</v>
      </c>
      <c r="W58" s="142"/>
    </row>
    <row r="59" spans="2:23" x14ac:dyDescent="0.2">
      <c r="B59" s="266" t="s">
        <v>317</v>
      </c>
      <c r="C59" s="262" t="s">
        <v>318</v>
      </c>
      <c r="D59" s="253">
        <f>IFERROR(VLOOKUP($B59,'[5]Budget Total-FY20 (P&amp;L)'!$B$4:$P$105,3,FALSE),0)</f>
        <v>5331</v>
      </c>
      <c r="E59" s="253">
        <f>IFERROR(VLOOKUP($B59,'[5]Budget Total-FY20 (P&amp;L)'!$B$4:$P$105,4,FALSE),0)</f>
        <v>0</v>
      </c>
      <c r="F59" s="253">
        <f>IFERROR(VLOOKUP($B59,'[5]Budget Total-FY20 (P&amp;L)'!$B$4:$P$105,5,FALSE),0)</f>
        <v>5331</v>
      </c>
      <c r="G59" s="253">
        <f>IFERROR(VLOOKUP($B59,'[5]Budget Total-FY20 (P&amp;L)'!$B$4:$P$105,6,FALSE),0)</f>
        <v>0</v>
      </c>
      <c r="H59" s="253">
        <f>IFERROR(VLOOKUP($B59,'[5]Budget Total-FY20 (P&amp;L)'!$B$4:$P$105,7,FALSE),0)</f>
        <v>0</v>
      </c>
      <c r="I59" s="253">
        <f>IFERROR(VLOOKUP($B59,'[5]Budget Total-FY20 (P&amp;L)'!$B$4:$P$105,8,FALSE),0)</f>
        <v>5331</v>
      </c>
      <c r="J59" s="253">
        <f>IFERROR(VLOOKUP($B59,'[5]Budget Total-FY20 (P&amp;L)'!$B$4:$P$105,9,FALSE),0)</f>
        <v>0</v>
      </c>
      <c r="K59" s="253">
        <f>IFERROR(VLOOKUP($B59,'[5]Budget Total-FY20 (P&amp;L)'!$B$4:$P$105,10,FALSE),0)</f>
        <v>3850</v>
      </c>
      <c r="L59" s="253">
        <f>IFERROR(VLOOKUP($B59,'[5]Budget Total-FY20 (P&amp;L)'!$B$4:$P$105,11,FALSE),0)</f>
        <v>5865</v>
      </c>
      <c r="M59" s="253">
        <f>IFERROR(VLOOKUP($B59,'[5]Budget Total-FY20 (P&amp;L)'!$B$4:$P$105,12,FALSE),0)</f>
        <v>0</v>
      </c>
      <c r="N59" s="253">
        <f>IFERROR(VLOOKUP($B59,'[5]Budget Total-FY20 (P&amp;L)'!$B$4:$P$105,13,FALSE),0)</f>
        <v>0</v>
      </c>
      <c r="O59" s="253">
        <f>IFERROR(VLOOKUP($B59,'[5]Budget Total-FY20 (P&amp;L)'!$B$4:$P$105,14,FALSE),0)</f>
        <v>0</v>
      </c>
      <c r="P59" s="306">
        <f t="shared" si="3"/>
        <v>25708</v>
      </c>
      <c r="Q59" s="307"/>
      <c r="R59" s="304"/>
      <c r="S59" s="302">
        <f t="shared" si="4"/>
        <v>25708</v>
      </c>
      <c r="T59" s="307">
        <f>IFERROR(VLOOKUP($B59,'[5]Budget Total-FY20 (P&amp;L)'!$B$4:$U$105,19,FALSE),0)</f>
        <v>21601.25</v>
      </c>
      <c r="U59" s="302">
        <f>IFERROR(VLOOKUP($B59,'[5]Budget Total-FY20 (P&amp;L)'!$B$4:$U$105,20,FALSE),0)</f>
        <v>21821</v>
      </c>
      <c r="W59" s="142"/>
    </row>
    <row r="60" spans="2:23" x14ac:dyDescent="0.2">
      <c r="B60" s="268">
        <v>5214</v>
      </c>
      <c r="C60" s="262" t="s">
        <v>164</v>
      </c>
      <c r="D60" s="253">
        <f>IFERROR(VLOOKUP($B60,'[5]Budget Total-FY20 (P&amp;L)'!$B$4:$P$105,3,FALSE),0)</f>
        <v>250</v>
      </c>
      <c r="E60" s="253">
        <f>IFERROR(VLOOKUP($B60,'[5]Budget Total-FY20 (P&amp;L)'!$B$4:$P$105,4,FALSE),0)</f>
        <v>1049</v>
      </c>
      <c r="F60" s="253">
        <f>IFERROR(VLOOKUP($B60,'[5]Budget Total-FY20 (P&amp;L)'!$B$4:$P$105,5,FALSE),0)</f>
        <v>250</v>
      </c>
      <c r="G60" s="253">
        <f>IFERROR(VLOOKUP($B60,'[5]Budget Total-FY20 (P&amp;L)'!$B$4:$P$105,6,FALSE),0)</f>
        <v>250</v>
      </c>
      <c r="H60" s="253">
        <f>IFERROR(VLOOKUP($B60,'[5]Budget Total-FY20 (P&amp;L)'!$B$4:$P$105,7,FALSE),0)</f>
        <v>250</v>
      </c>
      <c r="I60" s="253">
        <f>IFERROR(VLOOKUP($B60,'[5]Budget Total-FY20 (P&amp;L)'!$B$4:$P$105,8,FALSE),0)</f>
        <v>250</v>
      </c>
      <c r="J60" s="253">
        <f>IFERROR(VLOOKUP($B60,'[5]Budget Total-FY20 (P&amp;L)'!$B$4:$P$105,9,FALSE),0)</f>
        <v>250</v>
      </c>
      <c r="K60" s="253">
        <f>IFERROR(VLOOKUP($B60,'[5]Budget Total-FY20 (P&amp;L)'!$B$4:$P$105,10,FALSE),0)</f>
        <v>550</v>
      </c>
      <c r="L60" s="253">
        <f>IFERROR(VLOOKUP($B60,'[5]Budget Total-FY20 (P&amp;L)'!$B$4:$P$105,11,FALSE),0)</f>
        <v>250</v>
      </c>
      <c r="M60" s="253">
        <f>IFERROR(VLOOKUP($B60,'[5]Budget Total-FY20 (P&amp;L)'!$B$4:$P$105,12,FALSE),0)</f>
        <v>250</v>
      </c>
      <c r="N60" s="253">
        <f>IFERROR(VLOOKUP($B60,'[5]Budget Total-FY20 (P&amp;L)'!$B$4:$P$105,13,FALSE),0)</f>
        <v>250</v>
      </c>
      <c r="O60" s="253">
        <f>IFERROR(VLOOKUP($B60,'[5]Budget Total-FY20 (P&amp;L)'!$B$4:$P$105,14,FALSE),0)</f>
        <v>250</v>
      </c>
      <c r="P60" s="306">
        <f t="shared" si="3"/>
        <v>4099</v>
      </c>
      <c r="Q60" s="307"/>
      <c r="R60" s="304"/>
      <c r="S60" s="302">
        <f t="shared" si="4"/>
        <v>4099</v>
      </c>
      <c r="T60" s="307">
        <f>IFERROR(VLOOKUP($B60,'[5]Budget Total-FY20 (P&amp;L)'!$B$4:$U$105,19,FALSE),0)</f>
        <v>1149.21</v>
      </c>
      <c r="U60" s="302">
        <f>IFERROR(VLOOKUP($B60,'[5]Budget Total-FY20 (P&amp;L)'!$B$4:$U$105,20,FALSE),0)</f>
        <v>8210</v>
      </c>
      <c r="W60" s="142"/>
    </row>
    <row r="61" spans="2:23" x14ac:dyDescent="0.2">
      <c r="B61" s="270" t="s">
        <v>319</v>
      </c>
      <c r="C61" s="262" t="s">
        <v>320</v>
      </c>
      <c r="D61" s="253">
        <f>IFERROR(VLOOKUP($B61,'[5]Budget Total-FY20 (P&amp;L)'!$B$4:$P$105,3,FALSE),0)</f>
        <v>122</v>
      </c>
      <c r="E61" s="253">
        <f>IFERROR(VLOOKUP($B61,'[5]Budget Total-FY20 (P&amp;L)'!$B$4:$P$105,4,FALSE),0)</f>
        <v>122</v>
      </c>
      <c r="F61" s="253">
        <f>IFERROR(VLOOKUP($B61,'[5]Budget Total-FY20 (P&amp;L)'!$B$4:$P$105,5,FALSE),0)</f>
        <v>122</v>
      </c>
      <c r="G61" s="253">
        <f>IFERROR(VLOOKUP($B61,'[5]Budget Total-FY20 (P&amp;L)'!$B$4:$P$105,6,FALSE),0)</f>
        <v>122</v>
      </c>
      <c r="H61" s="253">
        <f>IFERROR(VLOOKUP($B61,'[5]Budget Total-FY20 (P&amp;L)'!$B$4:$P$105,7,FALSE),0)</f>
        <v>122</v>
      </c>
      <c r="I61" s="253">
        <f>IFERROR(VLOOKUP($B61,'[5]Budget Total-FY20 (P&amp;L)'!$B$4:$P$105,8,FALSE),0)</f>
        <v>122</v>
      </c>
      <c r="J61" s="253">
        <f>IFERROR(VLOOKUP($B61,'[5]Budget Total-FY20 (P&amp;L)'!$B$4:$P$105,9,FALSE),0)</f>
        <v>122</v>
      </c>
      <c r="K61" s="253">
        <f>IFERROR(VLOOKUP($B61,'[5]Budget Total-FY20 (P&amp;L)'!$B$4:$P$105,10,FALSE),0)</f>
        <v>122</v>
      </c>
      <c r="L61" s="253">
        <f>IFERROR(VLOOKUP($B61,'[5]Budget Total-FY20 (P&amp;L)'!$B$4:$P$105,11,FALSE),0)</f>
        <v>122</v>
      </c>
      <c r="M61" s="253">
        <f>IFERROR(VLOOKUP($B61,'[5]Budget Total-FY20 (P&amp;L)'!$B$4:$P$105,12,FALSE),0)</f>
        <v>122</v>
      </c>
      <c r="N61" s="253">
        <f>IFERROR(VLOOKUP($B61,'[5]Budget Total-FY20 (P&amp;L)'!$B$4:$P$105,13,FALSE),0)</f>
        <v>122</v>
      </c>
      <c r="O61" s="253">
        <f>IFERROR(VLOOKUP($B61,'[5]Budget Total-FY20 (P&amp;L)'!$B$4:$P$105,14,FALSE),0)</f>
        <v>122</v>
      </c>
      <c r="P61" s="306">
        <f t="shared" si="3"/>
        <v>1464</v>
      </c>
      <c r="Q61" s="307"/>
      <c r="R61" s="304"/>
      <c r="S61" s="302">
        <f t="shared" si="4"/>
        <v>1464</v>
      </c>
      <c r="T61" s="307">
        <f>IFERROR(VLOOKUP($B61,'[5]Budget Total-FY20 (P&amp;L)'!$B$4:$U$105,19,FALSE),0)</f>
        <v>826.79</v>
      </c>
      <c r="U61" s="302">
        <f>IFERROR(VLOOKUP($B61,'[5]Budget Total-FY20 (P&amp;L)'!$B$4:$U$105,20,FALSE),0)</f>
        <v>900</v>
      </c>
      <c r="W61" s="142"/>
    </row>
    <row r="62" spans="2:23" x14ac:dyDescent="0.2">
      <c r="B62" s="266" t="s">
        <v>321</v>
      </c>
      <c r="C62" s="262" t="s">
        <v>166</v>
      </c>
      <c r="D62" s="253">
        <f>IFERROR(VLOOKUP($B62,'[5]Budget Total-FY20 (P&amp;L)'!$B$4:$P$105,3,FALSE),0)</f>
        <v>601.66666666666674</v>
      </c>
      <c r="E62" s="253">
        <f>IFERROR(VLOOKUP($B62,'[5]Budget Total-FY20 (P&amp;L)'!$B$4:$P$105,4,FALSE),0)</f>
        <v>841.66666666666674</v>
      </c>
      <c r="F62" s="253">
        <f>IFERROR(VLOOKUP($B62,'[5]Budget Total-FY20 (P&amp;L)'!$B$4:$P$105,5,FALSE),0)</f>
        <v>631.66666666666674</v>
      </c>
      <c r="G62" s="253">
        <f>IFERROR(VLOOKUP($B62,'[5]Budget Total-FY20 (P&amp;L)'!$B$4:$P$105,6,FALSE),0)</f>
        <v>601.66666666666674</v>
      </c>
      <c r="H62" s="253">
        <f>IFERROR(VLOOKUP($B62,'[5]Budget Total-FY20 (P&amp;L)'!$B$4:$P$105,7,FALSE),0)</f>
        <v>601.66666666666674</v>
      </c>
      <c r="I62" s="253">
        <f>IFERROR(VLOOKUP($B62,'[5]Budget Total-FY20 (P&amp;L)'!$B$4:$P$105,8,FALSE),0)</f>
        <v>781.66666666666674</v>
      </c>
      <c r="J62" s="253">
        <f>IFERROR(VLOOKUP($B62,'[5]Budget Total-FY20 (P&amp;L)'!$B$4:$P$105,9,FALSE),0)</f>
        <v>751.66666666666674</v>
      </c>
      <c r="K62" s="253">
        <f>IFERROR(VLOOKUP($B62,'[5]Budget Total-FY20 (P&amp;L)'!$B$4:$P$105,10,FALSE),0)</f>
        <v>841.66666666666674</v>
      </c>
      <c r="L62" s="253">
        <f>IFERROR(VLOOKUP($B62,'[5]Budget Total-FY20 (P&amp;L)'!$B$4:$P$105,11,FALSE),0)</f>
        <v>791.66666666666674</v>
      </c>
      <c r="M62" s="253">
        <f>IFERROR(VLOOKUP($B62,'[5]Budget Total-FY20 (P&amp;L)'!$B$4:$P$105,12,FALSE),0)</f>
        <v>751.66666666666674</v>
      </c>
      <c r="N62" s="253">
        <f>IFERROR(VLOOKUP($B62,'[5]Budget Total-FY20 (P&amp;L)'!$B$4:$P$105,13,FALSE),0)</f>
        <v>261.66666666666669</v>
      </c>
      <c r="O62" s="253">
        <f>IFERROR(VLOOKUP($B62,'[5]Budget Total-FY20 (P&amp;L)'!$B$4:$P$105,14,FALSE),0)</f>
        <v>916.66666666666674</v>
      </c>
      <c r="P62" s="306">
        <f t="shared" si="3"/>
        <v>8375</v>
      </c>
      <c r="Q62" s="307"/>
      <c r="R62" s="304"/>
      <c r="S62" s="302">
        <f t="shared" si="4"/>
        <v>8375</v>
      </c>
      <c r="T62" s="307">
        <f>IFERROR(VLOOKUP($B62,'[5]Budget Total-FY20 (P&amp;L)'!$B$4:$U$105,19,FALSE),0)</f>
        <v>6602.01</v>
      </c>
      <c r="U62" s="302">
        <f>IFERROR(VLOOKUP($B62,'[5]Budget Total-FY20 (P&amp;L)'!$B$4:$U$105,20,FALSE),0)</f>
        <v>8685</v>
      </c>
      <c r="W62" s="142"/>
    </row>
    <row r="63" spans="2:23" x14ac:dyDescent="0.2">
      <c r="B63" s="270" t="s">
        <v>322</v>
      </c>
      <c r="C63" s="262" t="s">
        <v>169</v>
      </c>
      <c r="D63" s="253">
        <f>IFERROR(VLOOKUP($B63,'[5]Budget Total-FY20 (P&amp;L)'!$B$4:$P$105,3,FALSE),0)</f>
        <v>1901.9</v>
      </c>
      <c r="E63" s="253">
        <f>IFERROR(VLOOKUP($B63,'[5]Budget Total-FY20 (P&amp;L)'!$B$4:$P$105,4,FALSE),0)</f>
        <v>1901.9</v>
      </c>
      <c r="F63" s="253">
        <f>IFERROR(VLOOKUP($B63,'[5]Budget Total-FY20 (P&amp;L)'!$B$4:$P$105,5,FALSE),0)</f>
        <v>1901.9</v>
      </c>
      <c r="G63" s="253">
        <f>IFERROR(VLOOKUP($B63,'[5]Budget Total-FY20 (P&amp;L)'!$B$4:$P$105,6,FALSE),0)</f>
        <v>1901.9</v>
      </c>
      <c r="H63" s="253">
        <f>IFERROR(VLOOKUP($B63,'[5]Budget Total-FY20 (P&amp;L)'!$B$4:$P$105,7,FALSE),0)</f>
        <v>1901.9</v>
      </c>
      <c r="I63" s="253">
        <f>IFERROR(VLOOKUP($B63,'[5]Budget Total-FY20 (P&amp;L)'!$B$4:$P$105,8,FALSE),0)</f>
        <v>1901.9</v>
      </c>
      <c r="J63" s="253">
        <f>IFERROR(VLOOKUP($B63,'[5]Budget Total-FY20 (P&amp;L)'!$B$4:$P$105,9,FALSE),0)</f>
        <v>1901.9</v>
      </c>
      <c r="K63" s="253">
        <f>IFERROR(VLOOKUP($B63,'[5]Budget Total-FY20 (P&amp;L)'!$B$4:$P$105,10,FALSE),0)</f>
        <v>1901.9</v>
      </c>
      <c r="L63" s="253">
        <f>IFERROR(VLOOKUP($B63,'[5]Budget Total-FY20 (P&amp;L)'!$B$4:$P$105,11,FALSE),0)</f>
        <v>1901.9</v>
      </c>
      <c r="M63" s="253">
        <f>IFERROR(VLOOKUP($B63,'[5]Budget Total-FY20 (P&amp;L)'!$B$4:$P$105,12,FALSE),0)</f>
        <v>1901.9</v>
      </c>
      <c r="N63" s="253">
        <f>IFERROR(VLOOKUP($B63,'[5]Budget Total-FY20 (P&amp;L)'!$B$4:$P$105,13,FALSE),0)</f>
        <v>1901.9</v>
      </c>
      <c r="O63" s="253">
        <f>IFERROR(VLOOKUP($B63,'[5]Budget Total-FY20 (P&amp;L)'!$B$4:$P$105,14,FALSE),0)</f>
        <v>1901.9</v>
      </c>
      <c r="P63" s="306">
        <f t="shared" si="3"/>
        <v>22823</v>
      </c>
      <c r="Q63" s="307"/>
      <c r="R63" s="304"/>
      <c r="S63" s="302">
        <f t="shared" si="4"/>
        <v>22823</v>
      </c>
      <c r="T63" s="307">
        <f>IFERROR(VLOOKUP($B63,'[5]Budget Total-FY20 (P&amp;L)'!$B$4:$U$105,19,FALSE),0)</f>
        <v>17100</v>
      </c>
      <c r="U63" s="302">
        <f>IFERROR(VLOOKUP($B63,'[5]Budget Total-FY20 (P&amp;L)'!$B$4:$U$105,20,FALSE),0)</f>
        <v>22800</v>
      </c>
      <c r="W63" s="142"/>
    </row>
    <row r="64" spans="2:23" x14ac:dyDescent="0.2">
      <c r="B64" s="266" t="s">
        <v>323</v>
      </c>
      <c r="C64" s="262" t="s">
        <v>324</v>
      </c>
      <c r="D64" s="253">
        <f>IFERROR(VLOOKUP($B64,'[5]Budget Total-FY20 (P&amp;L)'!$B$4:$P$105,3,FALSE),0)</f>
        <v>1770.3333333333333</v>
      </c>
      <c r="E64" s="253">
        <f>IFERROR(VLOOKUP($B64,'[5]Budget Total-FY20 (P&amp;L)'!$B$4:$P$105,4,FALSE),0)</f>
        <v>608.33333333333326</v>
      </c>
      <c r="F64" s="253">
        <f>IFERROR(VLOOKUP($B64,'[5]Budget Total-FY20 (P&amp;L)'!$B$4:$P$105,5,FALSE),0)</f>
        <v>383.33333333333331</v>
      </c>
      <c r="G64" s="253">
        <f>IFERROR(VLOOKUP($B64,'[5]Budget Total-FY20 (P&amp;L)'!$B$4:$P$105,6,FALSE),0)</f>
        <v>920.33333333333326</v>
      </c>
      <c r="H64" s="253">
        <f>IFERROR(VLOOKUP($B64,'[5]Budget Total-FY20 (P&amp;L)'!$B$4:$P$105,7,FALSE),0)</f>
        <v>383.33333333333331</v>
      </c>
      <c r="I64" s="253">
        <f>IFERROR(VLOOKUP($B64,'[5]Budget Total-FY20 (P&amp;L)'!$B$4:$P$105,8,FALSE),0)</f>
        <v>967.33333333333326</v>
      </c>
      <c r="J64" s="253">
        <f>IFERROR(VLOOKUP($B64,'[5]Budget Total-FY20 (P&amp;L)'!$B$4:$P$105,9,FALSE),0)</f>
        <v>920.33333333333326</v>
      </c>
      <c r="K64" s="253">
        <f>IFERROR(VLOOKUP($B64,'[5]Budget Total-FY20 (P&amp;L)'!$B$4:$P$105,10,FALSE),0)</f>
        <v>383.33333333333331</v>
      </c>
      <c r="L64" s="253">
        <f>IFERROR(VLOOKUP($B64,'[5]Budget Total-FY20 (P&amp;L)'!$B$4:$P$105,11,FALSE),0)</f>
        <v>383.33333333333331</v>
      </c>
      <c r="M64" s="253">
        <f>IFERROR(VLOOKUP($B64,'[5]Budget Total-FY20 (P&amp;L)'!$B$4:$P$105,12,FALSE),0)</f>
        <v>920.33333333333326</v>
      </c>
      <c r="N64" s="253">
        <f>IFERROR(VLOOKUP($B64,'[5]Budget Total-FY20 (P&amp;L)'!$B$4:$P$105,13,FALSE),0)</f>
        <v>-616.66666666666674</v>
      </c>
      <c r="O64" s="253">
        <f>IFERROR(VLOOKUP($B64,'[5]Budget Total-FY20 (P&amp;L)'!$B$4:$P$105,14,FALSE),0)</f>
        <v>695.33333333333326</v>
      </c>
      <c r="P64" s="306">
        <f t="shared" ref="P64:P95" si="5">(ROUNDUP(SUM(D64:O64),0))</f>
        <v>7719</v>
      </c>
      <c r="Q64" s="307"/>
      <c r="R64" s="304"/>
      <c r="S64" s="302">
        <f t="shared" si="4"/>
        <v>7719</v>
      </c>
      <c r="T64" s="307">
        <f>IFERROR(VLOOKUP($B64,'[5]Budget Total-FY20 (P&amp;L)'!$B$4:$U$105,19,FALSE),0)</f>
        <v>6720.29</v>
      </c>
      <c r="U64" s="302">
        <f>IFERROR(VLOOKUP($B64,'[5]Budget Total-FY20 (P&amp;L)'!$B$4:$U$105,20,FALSE),0)</f>
        <v>9335</v>
      </c>
      <c r="W64" s="142"/>
    </row>
    <row r="65" spans="2:23" x14ac:dyDescent="0.2">
      <c r="B65" s="265" t="s">
        <v>325</v>
      </c>
      <c r="C65" s="262" t="s">
        <v>326</v>
      </c>
      <c r="D65" s="253">
        <f>IFERROR(VLOOKUP($B65,'[5]Budget Total-FY20 (P&amp;L)'!$B$4:$P$105,3,FALSE),0)</f>
        <v>0</v>
      </c>
      <c r="E65" s="253">
        <f>IFERROR(VLOOKUP($B65,'[5]Budget Total-FY20 (P&amp;L)'!$B$4:$P$105,4,FALSE),0)</f>
        <v>0</v>
      </c>
      <c r="F65" s="253">
        <f>IFERROR(VLOOKUP($B65,'[5]Budget Total-FY20 (P&amp;L)'!$B$4:$P$105,5,FALSE),0)</f>
        <v>0</v>
      </c>
      <c r="G65" s="253">
        <f>IFERROR(VLOOKUP($B65,'[5]Budget Total-FY20 (P&amp;L)'!$B$4:$P$105,6,FALSE),0)</f>
        <v>0</v>
      </c>
      <c r="H65" s="253">
        <f>IFERROR(VLOOKUP($B65,'[5]Budget Total-FY20 (P&amp;L)'!$B$4:$P$105,7,FALSE),0)</f>
        <v>0</v>
      </c>
      <c r="I65" s="253">
        <f>IFERROR(VLOOKUP($B65,'[5]Budget Total-FY20 (P&amp;L)'!$B$4:$P$105,8,FALSE),0)</f>
        <v>500</v>
      </c>
      <c r="J65" s="253">
        <f>IFERROR(VLOOKUP($B65,'[5]Budget Total-FY20 (P&amp;L)'!$B$4:$P$105,9,FALSE),0)</f>
        <v>0</v>
      </c>
      <c r="K65" s="253">
        <f>IFERROR(VLOOKUP($B65,'[5]Budget Total-FY20 (P&amp;L)'!$B$4:$P$105,10,FALSE),0)</f>
        <v>0</v>
      </c>
      <c r="L65" s="253">
        <f>IFERROR(VLOOKUP($B65,'[5]Budget Total-FY20 (P&amp;L)'!$B$4:$P$105,11,FALSE),0)</f>
        <v>0</v>
      </c>
      <c r="M65" s="253">
        <f>IFERROR(VLOOKUP($B65,'[5]Budget Total-FY20 (P&amp;L)'!$B$4:$P$105,12,FALSE),0)</f>
        <v>0</v>
      </c>
      <c r="N65" s="253">
        <f>IFERROR(VLOOKUP($B65,'[5]Budget Total-FY20 (P&amp;L)'!$B$4:$P$105,13,FALSE),0)</f>
        <v>0</v>
      </c>
      <c r="O65" s="253">
        <f>IFERROR(VLOOKUP($B65,'[5]Budget Total-FY20 (P&amp;L)'!$B$4:$P$105,14,FALSE),0)</f>
        <v>500</v>
      </c>
      <c r="P65" s="306">
        <f t="shared" si="5"/>
        <v>1000</v>
      </c>
      <c r="Q65" s="307"/>
      <c r="R65" s="304"/>
      <c r="S65" s="302">
        <f t="shared" si="4"/>
        <v>1000</v>
      </c>
      <c r="T65" s="307">
        <f>IFERROR(VLOOKUP($B65,'[5]Budget Total-FY20 (P&amp;L)'!$B$4:$U$105,19,FALSE),0)</f>
        <v>993.25</v>
      </c>
      <c r="U65" s="302">
        <f>IFERROR(VLOOKUP($B65,'[5]Budget Total-FY20 (P&amp;L)'!$B$4:$U$105,20,FALSE),0)</f>
        <v>800</v>
      </c>
      <c r="W65" s="142"/>
    </row>
    <row r="66" spans="2:23" x14ac:dyDescent="0.2">
      <c r="B66" s="268">
        <v>5106</v>
      </c>
      <c r="C66" s="262" t="s">
        <v>170</v>
      </c>
      <c r="D66" s="253">
        <f>IFERROR(VLOOKUP($B66,'[5]Budget Total-FY20 (P&amp;L)'!$B$4:$P$105,3,FALSE),0)</f>
        <v>416.66666666666669</v>
      </c>
      <c r="E66" s="253">
        <f>IFERROR(VLOOKUP($B66,'[5]Budget Total-FY20 (P&amp;L)'!$B$4:$P$105,4,FALSE),0)</f>
        <v>416.66666666666669</v>
      </c>
      <c r="F66" s="253">
        <f>IFERROR(VLOOKUP($B66,'[5]Budget Total-FY20 (P&amp;L)'!$B$4:$P$105,5,FALSE),0)</f>
        <v>416.66666666666669</v>
      </c>
      <c r="G66" s="253">
        <f>IFERROR(VLOOKUP($B66,'[5]Budget Total-FY20 (P&amp;L)'!$B$4:$P$105,6,FALSE),0)</f>
        <v>416.66666666666669</v>
      </c>
      <c r="H66" s="253">
        <f>IFERROR(VLOOKUP($B66,'[5]Budget Total-FY20 (P&amp;L)'!$B$4:$P$105,7,FALSE),0)</f>
        <v>416.66666666666669</v>
      </c>
      <c r="I66" s="253">
        <f>IFERROR(VLOOKUP($B66,'[5]Budget Total-FY20 (P&amp;L)'!$B$4:$P$105,8,FALSE),0)</f>
        <v>416.66666666666669</v>
      </c>
      <c r="J66" s="253">
        <f>IFERROR(VLOOKUP($B66,'[5]Budget Total-FY20 (P&amp;L)'!$B$4:$P$105,9,FALSE),0)</f>
        <v>416.66666666666669</v>
      </c>
      <c r="K66" s="253">
        <f>IFERROR(VLOOKUP($B66,'[5]Budget Total-FY20 (P&amp;L)'!$B$4:$P$105,10,FALSE),0)</f>
        <v>416.66666666666669</v>
      </c>
      <c r="L66" s="253">
        <f>IFERROR(VLOOKUP($B66,'[5]Budget Total-FY20 (P&amp;L)'!$B$4:$P$105,11,FALSE),0)</f>
        <v>416.66666666666669</v>
      </c>
      <c r="M66" s="253">
        <f>IFERROR(VLOOKUP($B66,'[5]Budget Total-FY20 (P&amp;L)'!$B$4:$P$105,12,FALSE),0)</f>
        <v>416.66666666666669</v>
      </c>
      <c r="N66" s="253">
        <f>IFERROR(VLOOKUP($B66,'[5]Budget Total-FY20 (P&amp;L)'!$B$4:$P$105,13,FALSE),0)</f>
        <v>416.66666666666669</v>
      </c>
      <c r="O66" s="253">
        <f>IFERROR(VLOOKUP($B66,'[5]Budget Total-FY20 (P&amp;L)'!$B$4:$P$105,14,FALSE),0)</f>
        <v>416.66666666666669</v>
      </c>
      <c r="P66" s="306">
        <f t="shared" si="5"/>
        <v>5000</v>
      </c>
      <c r="Q66" s="307"/>
      <c r="R66" s="304"/>
      <c r="S66" s="302">
        <f t="shared" si="4"/>
        <v>5000</v>
      </c>
      <c r="T66" s="307">
        <f>IFERROR(VLOOKUP($B66,'[5]Budget Total-FY20 (P&amp;L)'!$B$4:$U$105,19,FALSE),0)</f>
        <v>3764.79</v>
      </c>
      <c r="U66" s="302">
        <f>IFERROR(VLOOKUP($B66,'[5]Budget Total-FY20 (P&amp;L)'!$B$4:$U$105,20,FALSE),0)</f>
        <v>5000</v>
      </c>
      <c r="W66" s="142"/>
    </row>
    <row r="67" spans="2:23" x14ac:dyDescent="0.2">
      <c r="B67" s="270" t="s">
        <v>327</v>
      </c>
      <c r="C67" s="262" t="s">
        <v>171</v>
      </c>
      <c r="D67" s="253">
        <f>IFERROR(VLOOKUP($B67,'[5]Budget Total-FY20 (P&amp;L)'!$B$4:$P$105,3,FALSE),0)</f>
        <v>14993.173333333332</v>
      </c>
      <c r="E67" s="253">
        <f>IFERROR(VLOOKUP($B67,'[5]Budget Total-FY20 (P&amp;L)'!$B$4:$P$105,4,FALSE),0)</f>
        <v>14993.173333333332</v>
      </c>
      <c r="F67" s="253">
        <f>IFERROR(VLOOKUP($B67,'[5]Budget Total-FY20 (P&amp;L)'!$B$4:$P$105,5,FALSE),0)</f>
        <v>14993.173333333332</v>
      </c>
      <c r="G67" s="253">
        <f>IFERROR(VLOOKUP($B67,'[5]Budget Total-FY20 (P&amp;L)'!$B$4:$P$105,6,FALSE),0)</f>
        <v>14993.173333333332</v>
      </c>
      <c r="H67" s="253">
        <f>IFERROR(VLOOKUP($B67,'[5]Budget Total-FY20 (P&amp;L)'!$B$4:$P$105,7,FALSE),0)</f>
        <v>14993.173333333332</v>
      </c>
      <c r="I67" s="253">
        <f>IFERROR(VLOOKUP($B67,'[5]Budget Total-FY20 (P&amp;L)'!$B$4:$P$105,8,FALSE),0)</f>
        <v>14993.173333333332</v>
      </c>
      <c r="J67" s="253">
        <f>IFERROR(VLOOKUP($B67,'[5]Budget Total-FY20 (P&amp;L)'!$B$4:$P$105,9,FALSE),0)</f>
        <v>14993.173333333332</v>
      </c>
      <c r="K67" s="253">
        <f>IFERROR(VLOOKUP($B67,'[5]Budget Total-FY20 (P&amp;L)'!$B$4:$P$105,10,FALSE),0)</f>
        <v>14993.173333333332</v>
      </c>
      <c r="L67" s="253">
        <f>IFERROR(VLOOKUP($B67,'[5]Budget Total-FY20 (P&amp;L)'!$B$4:$P$105,11,FALSE),0)</f>
        <v>14993.173333333332</v>
      </c>
      <c r="M67" s="253">
        <f>IFERROR(VLOOKUP($B67,'[5]Budget Total-FY20 (P&amp;L)'!$B$4:$P$105,12,FALSE),0)</f>
        <v>14993.173333333332</v>
      </c>
      <c r="N67" s="253">
        <f>IFERROR(VLOOKUP($B67,'[5]Budget Total-FY20 (P&amp;L)'!$B$4:$P$105,13,FALSE),0)</f>
        <v>14993.173333333332</v>
      </c>
      <c r="O67" s="253">
        <f>IFERROR(VLOOKUP($B67,'[5]Budget Total-FY20 (P&amp;L)'!$B$4:$P$105,14,FALSE),0)</f>
        <v>14993.173333333332</v>
      </c>
      <c r="P67" s="306">
        <f t="shared" si="5"/>
        <v>179919</v>
      </c>
      <c r="Q67" s="307"/>
      <c r="R67" s="304"/>
      <c r="S67" s="302">
        <f t="shared" si="4"/>
        <v>179919</v>
      </c>
      <c r="T67" s="307">
        <f>IFERROR(VLOOKUP($B67,'[5]Budget Total-FY20 (P&amp;L)'!$B$4:$U$105,19,FALSE),0)</f>
        <v>83889.3</v>
      </c>
      <c r="U67" s="302">
        <f>IFERROR(VLOOKUP($B67,'[5]Budget Total-FY20 (P&amp;L)'!$B$4:$U$105,20,FALSE),0)</f>
        <v>157145</v>
      </c>
      <c r="W67" s="142"/>
    </row>
    <row r="68" spans="2:23" x14ac:dyDescent="0.2">
      <c r="B68" s="266" t="s">
        <v>328</v>
      </c>
      <c r="C68" s="262" t="s">
        <v>329</v>
      </c>
      <c r="D68" s="253">
        <f>IFERROR(VLOOKUP($B68,'[5]Budget Total-FY20 (P&amp;L)'!$B$4:$P$105,3,FALSE),0)</f>
        <v>640.91666666666674</v>
      </c>
      <c r="E68" s="253">
        <f>IFERROR(VLOOKUP($B68,'[5]Budget Total-FY20 (P&amp;L)'!$B$4:$P$105,4,FALSE),0)</f>
        <v>465.91666666666669</v>
      </c>
      <c r="F68" s="253">
        <f>IFERROR(VLOOKUP($B68,'[5]Budget Total-FY20 (P&amp;L)'!$B$4:$P$105,5,FALSE),0)</f>
        <v>465.91666666666669</v>
      </c>
      <c r="G68" s="253">
        <f>IFERROR(VLOOKUP($B68,'[5]Budget Total-FY20 (P&amp;L)'!$B$4:$P$105,6,FALSE),0)</f>
        <v>465.91666666666669</v>
      </c>
      <c r="H68" s="253">
        <f>IFERROR(VLOOKUP($B68,'[5]Budget Total-FY20 (P&amp;L)'!$B$4:$P$105,7,FALSE),0)</f>
        <v>465.91666666666669</v>
      </c>
      <c r="I68" s="253">
        <f>IFERROR(VLOOKUP($B68,'[5]Budget Total-FY20 (P&amp;L)'!$B$4:$P$105,8,FALSE),0)</f>
        <v>589.91666666666674</v>
      </c>
      <c r="J68" s="253">
        <f>IFERROR(VLOOKUP($B68,'[5]Budget Total-FY20 (P&amp;L)'!$B$4:$P$105,9,FALSE),0)</f>
        <v>465.91666666666669</v>
      </c>
      <c r="K68" s="253">
        <f>IFERROR(VLOOKUP($B68,'[5]Budget Total-FY20 (P&amp;L)'!$B$4:$P$105,10,FALSE),0)</f>
        <v>465.91666666666669</v>
      </c>
      <c r="L68" s="253">
        <f>IFERROR(VLOOKUP($B68,'[5]Budget Total-FY20 (P&amp;L)'!$B$4:$P$105,11,FALSE),0)</f>
        <v>465.91666666666669</v>
      </c>
      <c r="M68" s="253">
        <f>IFERROR(VLOOKUP($B68,'[5]Budget Total-FY20 (P&amp;L)'!$B$4:$P$105,12,FALSE),0)</f>
        <v>465.91666666666669</v>
      </c>
      <c r="N68" s="253">
        <f>IFERROR(VLOOKUP($B68,'[5]Budget Total-FY20 (P&amp;L)'!$B$4:$P$105,13,FALSE),0)</f>
        <v>-34.083333333333314</v>
      </c>
      <c r="O68" s="253">
        <f>IFERROR(VLOOKUP($B68,'[5]Budget Total-FY20 (P&amp;L)'!$B$4:$P$105,14,FALSE),0)</f>
        <v>475.91666666666669</v>
      </c>
      <c r="P68" s="306">
        <f t="shared" si="5"/>
        <v>5400</v>
      </c>
      <c r="Q68" s="307"/>
      <c r="R68" s="304"/>
      <c r="S68" s="302">
        <f t="shared" ref="S68:S97" si="6">+P68+R68</f>
        <v>5400</v>
      </c>
      <c r="T68" s="307">
        <f>IFERROR(VLOOKUP($B68,'[5]Budget Total-FY20 (P&amp;L)'!$B$4:$U$105,19,FALSE),0)</f>
        <v>3924.3999999999996</v>
      </c>
      <c r="U68" s="302">
        <f>IFERROR(VLOOKUP($B68,'[5]Budget Total-FY20 (P&amp;L)'!$B$4:$U$105,20,FALSE),0)</f>
        <v>5732.0599999999995</v>
      </c>
      <c r="W68" s="142"/>
    </row>
    <row r="69" spans="2:23" x14ac:dyDescent="0.2">
      <c r="B69" s="268">
        <v>5110</v>
      </c>
      <c r="C69" s="262" t="s">
        <v>173</v>
      </c>
      <c r="D69" s="253">
        <f>IFERROR(VLOOKUP($B69,'[5]Budget Total-FY20 (P&amp;L)'!$B$4:$P$105,3,FALSE),0)</f>
        <v>0</v>
      </c>
      <c r="E69" s="253">
        <f>IFERROR(VLOOKUP($B69,'[5]Budget Total-FY20 (P&amp;L)'!$B$4:$P$105,4,FALSE),0)</f>
        <v>0</v>
      </c>
      <c r="F69" s="253">
        <f>IFERROR(VLOOKUP($B69,'[5]Budget Total-FY20 (P&amp;L)'!$B$4:$P$105,5,FALSE),0)</f>
        <v>0</v>
      </c>
      <c r="G69" s="253">
        <f>IFERROR(VLOOKUP($B69,'[5]Budget Total-FY20 (P&amp;L)'!$B$4:$P$105,6,FALSE),0)</f>
        <v>0</v>
      </c>
      <c r="H69" s="253">
        <f>IFERROR(VLOOKUP($B69,'[5]Budget Total-FY20 (P&amp;L)'!$B$4:$P$105,7,FALSE),0)</f>
        <v>0</v>
      </c>
      <c r="I69" s="253">
        <f>IFERROR(VLOOKUP($B69,'[5]Budget Total-FY20 (P&amp;L)'!$B$4:$P$105,8,FALSE),0)</f>
        <v>0</v>
      </c>
      <c r="J69" s="253">
        <f>IFERROR(VLOOKUP($B69,'[5]Budget Total-FY20 (P&amp;L)'!$B$4:$P$105,9,FALSE),0)</f>
        <v>0</v>
      </c>
      <c r="K69" s="253">
        <f>IFERROR(VLOOKUP($B69,'[5]Budget Total-FY20 (P&amp;L)'!$B$4:$P$105,10,FALSE),0)</f>
        <v>0</v>
      </c>
      <c r="L69" s="253">
        <f>IFERROR(VLOOKUP($B69,'[5]Budget Total-FY20 (P&amp;L)'!$B$4:$P$105,11,FALSE),0)</f>
        <v>0</v>
      </c>
      <c r="M69" s="253">
        <f>IFERROR(VLOOKUP($B69,'[5]Budget Total-FY20 (P&amp;L)'!$B$4:$P$105,12,FALSE),0)</f>
        <v>0</v>
      </c>
      <c r="N69" s="253">
        <f>IFERROR(VLOOKUP($B69,'[5]Budget Total-FY20 (P&amp;L)'!$B$4:$P$105,13,FALSE),0)</f>
        <v>0</v>
      </c>
      <c r="O69" s="253">
        <f>IFERROR(VLOOKUP($B69,'[5]Budget Total-FY20 (P&amp;L)'!$B$4:$P$105,14,FALSE),0)</f>
        <v>0</v>
      </c>
      <c r="P69" s="306">
        <f t="shared" si="5"/>
        <v>0</v>
      </c>
      <c r="Q69" s="307"/>
      <c r="R69" s="304"/>
      <c r="S69" s="302">
        <f t="shared" si="6"/>
        <v>0</v>
      </c>
      <c r="T69" s="307">
        <f>IFERROR(VLOOKUP($B69,'[5]Budget Total-FY20 (P&amp;L)'!$B$4:$U$105,19,FALSE),0)</f>
        <v>625.83000000000004</v>
      </c>
      <c r="U69" s="302">
        <f>IFERROR(VLOOKUP($B69,'[5]Budget Total-FY20 (P&amp;L)'!$B$4:$U$105,20,FALSE),0)</f>
        <v>1500</v>
      </c>
      <c r="W69" s="142"/>
    </row>
    <row r="70" spans="2:23" x14ac:dyDescent="0.2">
      <c r="B70" s="270" t="s">
        <v>330</v>
      </c>
      <c r="C70" s="262" t="s">
        <v>174</v>
      </c>
      <c r="D70" s="253">
        <f>IFERROR(VLOOKUP($B70,'[5]Budget Total-FY20 (P&amp;L)'!$B$4:$P$105,3,FALSE),0)</f>
        <v>240</v>
      </c>
      <c r="E70" s="253">
        <f>IFERROR(VLOOKUP($B70,'[5]Budget Total-FY20 (P&amp;L)'!$B$4:$P$105,4,FALSE),0)</f>
        <v>135</v>
      </c>
      <c r="F70" s="253">
        <f>IFERROR(VLOOKUP($B70,'[5]Budget Total-FY20 (P&amp;L)'!$B$4:$P$105,5,FALSE),0)</f>
        <v>223.33333333333334</v>
      </c>
      <c r="G70" s="253">
        <f>IFERROR(VLOOKUP($B70,'[5]Budget Total-FY20 (P&amp;L)'!$B$4:$P$105,6,FALSE),0)</f>
        <v>185</v>
      </c>
      <c r="H70" s="253">
        <f>IFERROR(VLOOKUP($B70,'[5]Budget Total-FY20 (P&amp;L)'!$B$4:$P$105,7,FALSE),0)</f>
        <v>1375</v>
      </c>
      <c r="I70" s="253">
        <f>IFERROR(VLOOKUP($B70,'[5]Budget Total-FY20 (P&amp;L)'!$B$4:$P$105,8,FALSE),0)</f>
        <v>135</v>
      </c>
      <c r="J70" s="253">
        <f>IFERROR(VLOOKUP($B70,'[5]Budget Total-FY20 (P&amp;L)'!$B$4:$P$105,9,FALSE),0)</f>
        <v>838.33333333333337</v>
      </c>
      <c r="K70" s="253">
        <f>IFERROR(VLOOKUP($B70,'[5]Budget Total-FY20 (P&amp;L)'!$B$4:$P$105,10,FALSE),0)</f>
        <v>135</v>
      </c>
      <c r="L70" s="253">
        <f>IFERROR(VLOOKUP($B70,'[5]Budget Total-FY20 (P&amp;L)'!$B$4:$P$105,11,FALSE),0)</f>
        <v>190</v>
      </c>
      <c r="M70" s="253">
        <f>IFERROR(VLOOKUP($B70,'[5]Budget Total-FY20 (P&amp;L)'!$B$4:$P$105,12,FALSE),0)</f>
        <v>185</v>
      </c>
      <c r="N70" s="253">
        <f>IFERROR(VLOOKUP($B70,'[5]Budget Total-FY20 (P&amp;L)'!$B$4:$P$105,13,FALSE),0)</f>
        <v>223.33333333333334</v>
      </c>
      <c r="O70" s="253">
        <f>IFERROR(VLOOKUP($B70,'[5]Budget Total-FY20 (P&amp;L)'!$B$4:$P$105,14,FALSE),0)</f>
        <v>135</v>
      </c>
      <c r="P70" s="306">
        <f t="shared" si="5"/>
        <v>4000</v>
      </c>
      <c r="Q70" s="307"/>
      <c r="R70" s="304"/>
      <c r="S70" s="302">
        <f t="shared" si="6"/>
        <v>4000</v>
      </c>
      <c r="T70" s="307">
        <f>IFERROR(VLOOKUP($B70,'[5]Budget Total-FY20 (P&amp;L)'!$B$4:$U$105,19,FALSE),0)</f>
        <v>3927.8700000000003</v>
      </c>
      <c r="U70" s="302">
        <f>IFERROR(VLOOKUP($B70,'[5]Budget Total-FY20 (P&amp;L)'!$B$4:$U$105,20,FALSE),0)</f>
        <v>4330</v>
      </c>
      <c r="W70" s="142"/>
    </row>
    <row r="71" spans="2:23" x14ac:dyDescent="0.2">
      <c r="B71" s="266" t="s">
        <v>331</v>
      </c>
      <c r="C71" s="262" t="s">
        <v>175</v>
      </c>
      <c r="D71" s="253">
        <f>IFERROR(VLOOKUP($B71,'[5]Budget Total-FY20 (P&amp;L)'!$B$4:$P$105,3,FALSE),0)</f>
        <v>1465</v>
      </c>
      <c r="E71" s="253">
        <f>IFERROR(VLOOKUP($B71,'[5]Budget Total-FY20 (P&amp;L)'!$B$4:$P$105,4,FALSE),0)</f>
        <v>75</v>
      </c>
      <c r="F71" s="253">
        <f>IFERROR(VLOOKUP($B71,'[5]Budget Total-FY20 (P&amp;L)'!$B$4:$P$105,5,FALSE),0)</f>
        <v>3925</v>
      </c>
      <c r="G71" s="253">
        <f>IFERROR(VLOOKUP($B71,'[5]Budget Total-FY20 (P&amp;L)'!$B$4:$P$105,6,FALSE),0)</f>
        <v>655</v>
      </c>
      <c r="H71" s="253">
        <f>IFERROR(VLOOKUP($B71,'[5]Budget Total-FY20 (P&amp;L)'!$B$4:$P$105,7,FALSE),0)</f>
        <v>1875</v>
      </c>
      <c r="I71" s="253">
        <f>IFERROR(VLOOKUP($B71,'[5]Budget Total-FY20 (P&amp;L)'!$B$4:$P$105,8,FALSE),0)</f>
        <v>4175</v>
      </c>
      <c r="J71" s="253">
        <f>IFERROR(VLOOKUP($B71,'[5]Budget Total-FY20 (P&amp;L)'!$B$4:$P$105,9,FALSE),0)</f>
        <v>2555</v>
      </c>
      <c r="K71" s="253">
        <f>IFERROR(VLOOKUP($B71,'[5]Budget Total-FY20 (P&amp;L)'!$B$4:$P$105,10,FALSE),0)</f>
        <v>175</v>
      </c>
      <c r="L71" s="253">
        <f>IFERROR(VLOOKUP($B71,'[5]Budget Total-FY20 (P&amp;L)'!$B$4:$P$105,11,FALSE),0)</f>
        <v>3925</v>
      </c>
      <c r="M71" s="253">
        <f>IFERROR(VLOOKUP($B71,'[5]Budget Total-FY20 (P&amp;L)'!$B$4:$P$105,12,FALSE),0)</f>
        <v>655</v>
      </c>
      <c r="N71" s="253">
        <f>IFERROR(VLOOKUP($B71,'[5]Budget Total-FY20 (P&amp;L)'!$B$4:$P$105,13,FALSE),0)</f>
        <v>175</v>
      </c>
      <c r="O71" s="253">
        <f>IFERROR(VLOOKUP($B71,'[5]Budget Total-FY20 (P&amp;L)'!$B$4:$P$105,14,FALSE),0)</f>
        <v>4225</v>
      </c>
      <c r="P71" s="306">
        <f t="shared" si="5"/>
        <v>23880</v>
      </c>
      <c r="Q71" s="307"/>
      <c r="R71" s="304"/>
      <c r="S71" s="302">
        <f t="shared" si="6"/>
        <v>23880</v>
      </c>
      <c r="T71" s="307">
        <f>IFERROR(VLOOKUP($B71,'[5]Budget Total-FY20 (P&amp;L)'!$B$4:$U$105,19,FALSE),0)</f>
        <v>10318.57</v>
      </c>
      <c r="U71" s="302">
        <f>IFERROR(VLOOKUP($B71,'[5]Budget Total-FY20 (P&amp;L)'!$B$4:$U$105,20,FALSE),0)</f>
        <v>35000</v>
      </c>
      <c r="W71" s="142"/>
    </row>
    <row r="72" spans="2:23" x14ac:dyDescent="0.2">
      <c r="B72" s="268">
        <v>5209</v>
      </c>
      <c r="C72" s="262" t="s">
        <v>176</v>
      </c>
      <c r="D72" s="253">
        <f>IFERROR(VLOOKUP($B72,'[5]Budget Total-FY20 (P&amp;L)'!$B$4:$P$105,3,FALSE),0)</f>
        <v>0</v>
      </c>
      <c r="E72" s="253">
        <f>IFERROR(VLOOKUP($B72,'[5]Budget Total-FY20 (P&amp;L)'!$B$4:$P$105,4,FALSE),0)</f>
        <v>800</v>
      </c>
      <c r="F72" s="253">
        <f>IFERROR(VLOOKUP($B72,'[5]Budget Total-FY20 (P&amp;L)'!$B$4:$P$105,5,FALSE),0)</f>
        <v>165</v>
      </c>
      <c r="G72" s="253">
        <f>IFERROR(VLOOKUP($B72,'[5]Budget Total-FY20 (P&amp;L)'!$B$4:$P$105,6,FALSE),0)</f>
        <v>0</v>
      </c>
      <c r="H72" s="253">
        <f>IFERROR(VLOOKUP($B72,'[5]Budget Total-FY20 (P&amp;L)'!$B$4:$P$105,7,FALSE),0)</f>
        <v>45</v>
      </c>
      <c r="I72" s="253">
        <f>IFERROR(VLOOKUP($B72,'[5]Budget Total-FY20 (P&amp;L)'!$B$4:$P$105,8,FALSE),0)</f>
        <v>0</v>
      </c>
      <c r="J72" s="253">
        <f>IFERROR(VLOOKUP($B72,'[5]Budget Total-FY20 (P&amp;L)'!$B$4:$P$105,9,FALSE),0)</f>
        <v>0</v>
      </c>
      <c r="K72" s="253">
        <f>IFERROR(VLOOKUP($B72,'[5]Budget Total-FY20 (P&amp;L)'!$B$4:$P$105,10,FALSE),0)</f>
        <v>0</v>
      </c>
      <c r="L72" s="253">
        <f>IFERROR(VLOOKUP($B72,'[5]Budget Total-FY20 (P&amp;L)'!$B$4:$P$105,11,FALSE),0)</f>
        <v>0</v>
      </c>
      <c r="M72" s="253">
        <f>IFERROR(VLOOKUP($B72,'[5]Budget Total-FY20 (P&amp;L)'!$B$4:$P$105,12,FALSE),0)</f>
        <v>0</v>
      </c>
      <c r="N72" s="253">
        <f>IFERROR(VLOOKUP($B72,'[5]Budget Total-FY20 (P&amp;L)'!$B$4:$P$105,13,FALSE),0)</f>
        <v>0</v>
      </c>
      <c r="O72" s="253">
        <f>IFERROR(VLOOKUP($B72,'[5]Budget Total-FY20 (P&amp;L)'!$B$4:$P$105,14,FALSE),0)</f>
        <v>0</v>
      </c>
      <c r="P72" s="306">
        <f t="shared" si="5"/>
        <v>1010</v>
      </c>
      <c r="Q72" s="307"/>
      <c r="R72" s="304"/>
      <c r="S72" s="302">
        <f t="shared" si="6"/>
        <v>1010</v>
      </c>
      <c r="T72" s="307">
        <f>IFERROR(VLOOKUP($B72,'[5]Budget Total-FY20 (P&amp;L)'!$B$4:$U$105,19,FALSE),0)</f>
        <v>71.75</v>
      </c>
      <c r="U72" s="302">
        <f>IFERROR(VLOOKUP($B72,'[5]Budget Total-FY20 (P&amp;L)'!$B$4:$U$105,20,FALSE),0)</f>
        <v>345</v>
      </c>
      <c r="W72" s="142"/>
    </row>
    <row r="73" spans="2:23" x14ac:dyDescent="0.2">
      <c r="B73" s="265">
        <v>8440</v>
      </c>
      <c r="C73" s="262" t="s">
        <v>177</v>
      </c>
      <c r="D73" s="253">
        <f>IFERROR(VLOOKUP($B73,'[5]Budget Total-FY20 (P&amp;L)'!$B$4:$P$105,3,FALSE),0)</f>
        <v>5899</v>
      </c>
      <c r="E73" s="253">
        <f>IFERROR(VLOOKUP($B73,'[5]Budget Total-FY20 (P&amp;L)'!$B$4:$P$105,4,FALSE),0)</f>
        <v>594</v>
      </c>
      <c r="F73" s="253">
        <f>IFERROR(VLOOKUP($B73,'[5]Budget Total-FY20 (P&amp;L)'!$B$4:$P$105,5,FALSE),0)</f>
        <v>2099</v>
      </c>
      <c r="G73" s="253">
        <f>IFERROR(VLOOKUP($B73,'[5]Budget Total-FY20 (P&amp;L)'!$B$4:$P$105,6,FALSE),0)</f>
        <v>99</v>
      </c>
      <c r="H73" s="253">
        <f>IFERROR(VLOOKUP($B73,'[5]Budget Total-FY20 (P&amp;L)'!$B$4:$P$105,7,FALSE),0)</f>
        <v>599</v>
      </c>
      <c r="I73" s="253">
        <f>IFERROR(VLOOKUP($B73,'[5]Budget Total-FY20 (P&amp;L)'!$B$4:$P$105,8,FALSE),0)</f>
        <v>599</v>
      </c>
      <c r="J73" s="253">
        <f>IFERROR(VLOOKUP($B73,'[5]Budget Total-FY20 (P&amp;L)'!$B$4:$P$105,9,FALSE),0)</f>
        <v>2099</v>
      </c>
      <c r="K73" s="253">
        <f>IFERROR(VLOOKUP($B73,'[5]Budget Total-FY20 (P&amp;L)'!$B$4:$P$105,10,FALSE),0)</f>
        <v>2599</v>
      </c>
      <c r="L73" s="253">
        <f>IFERROR(VLOOKUP($B73,'[5]Budget Total-FY20 (P&amp;L)'!$B$4:$P$105,11,FALSE),0)</f>
        <v>749</v>
      </c>
      <c r="M73" s="253">
        <f>IFERROR(VLOOKUP($B73,'[5]Budget Total-FY20 (P&amp;L)'!$B$4:$P$105,12,FALSE),0)</f>
        <v>599</v>
      </c>
      <c r="N73" s="253">
        <f>IFERROR(VLOOKUP($B73,'[5]Budget Total-FY20 (P&amp;L)'!$B$4:$P$105,13,FALSE),0)</f>
        <v>1299</v>
      </c>
      <c r="O73" s="253">
        <f>IFERROR(VLOOKUP($B73,'[5]Budget Total-FY20 (P&amp;L)'!$B$4:$P$105,14,FALSE),0)</f>
        <v>849</v>
      </c>
      <c r="P73" s="306">
        <f t="shared" si="5"/>
        <v>18083</v>
      </c>
      <c r="Q73" s="307"/>
      <c r="R73" s="304"/>
      <c r="S73" s="302">
        <f t="shared" si="6"/>
        <v>18083</v>
      </c>
      <c r="T73" s="307">
        <f>IFERROR(VLOOKUP($B73,'[5]Budget Total-FY20 (P&amp;L)'!$B$4:$U$105,19,FALSE),0)</f>
        <v>1593.21</v>
      </c>
      <c r="U73" s="302">
        <f>IFERROR(VLOOKUP($B73,'[5]Budget Total-FY20 (P&amp;L)'!$B$4:$U$105,20,FALSE),0)</f>
        <v>9028</v>
      </c>
      <c r="W73" s="142"/>
    </row>
    <row r="74" spans="2:23" x14ac:dyDescent="0.2">
      <c r="B74" s="268">
        <v>5202</v>
      </c>
      <c r="C74" s="262" t="s">
        <v>178</v>
      </c>
      <c r="D74" s="253">
        <f>IFERROR(VLOOKUP($B74,'[5]Budget Total-FY20 (P&amp;L)'!$B$4:$P$105,3,FALSE),0)</f>
        <v>0</v>
      </c>
      <c r="E74" s="253">
        <f>IFERROR(VLOOKUP($B74,'[5]Budget Total-FY20 (P&amp;L)'!$B$4:$P$105,4,FALSE),0)</f>
        <v>0</v>
      </c>
      <c r="F74" s="253">
        <f>IFERROR(VLOOKUP($B74,'[5]Budget Total-FY20 (P&amp;L)'!$B$4:$P$105,5,FALSE),0)</f>
        <v>0</v>
      </c>
      <c r="G74" s="253">
        <f>IFERROR(VLOOKUP($B74,'[5]Budget Total-FY20 (P&amp;L)'!$B$4:$P$105,6,FALSE),0)</f>
        <v>0</v>
      </c>
      <c r="H74" s="253">
        <f>IFERROR(VLOOKUP($B74,'[5]Budget Total-FY20 (P&amp;L)'!$B$4:$P$105,7,FALSE),0)</f>
        <v>0</v>
      </c>
      <c r="I74" s="253">
        <f>IFERROR(VLOOKUP($B74,'[5]Budget Total-FY20 (P&amp;L)'!$B$4:$P$105,8,FALSE),0)</f>
        <v>0</v>
      </c>
      <c r="J74" s="253">
        <f>IFERROR(VLOOKUP($B74,'[5]Budget Total-FY20 (P&amp;L)'!$B$4:$P$105,9,FALSE),0)</f>
        <v>0</v>
      </c>
      <c r="K74" s="253">
        <f>IFERROR(VLOOKUP($B74,'[5]Budget Total-FY20 (P&amp;L)'!$B$4:$P$105,10,FALSE),0)</f>
        <v>0</v>
      </c>
      <c r="L74" s="253">
        <f>IFERROR(VLOOKUP($B74,'[5]Budget Total-FY20 (P&amp;L)'!$B$4:$P$105,11,FALSE),0)</f>
        <v>0</v>
      </c>
      <c r="M74" s="253">
        <f>IFERROR(VLOOKUP($B74,'[5]Budget Total-FY20 (P&amp;L)'!$B$4:$P$105,12,FALSE),0)</f>
        <v>75</v>
      </c>
      <c r="N74" s="253">
        <f>IFERROR(VLOOKUP($B74,'[5]Budget Total-FY20 (P&amp;L)'!$B$4:$P$105,13,FALSE),0)</f>
        <v>0</v>
      </c>
      <c r="O74" s="253">
        <f>IFERROR(VLOOKUP($B74,'[5]Budget Total-FY20 (P&amp;L)'!$B$4:$P$105,14,FALSE),0)</f>
        <v>0</v>
      </c>
      <c r="P74" s="306">
        <f t="shared" si="5"/>
        <v>75</v>
      </c>
      <c r="Q74" s="307"/>
      <c r="R74" s="304"/>
      <c r="S74" s="302">
        <f t="shared" si="6"/>
        <v>75</v>
      </c>
      <c r="T74" s="307">
        <f>IFERROR(VLOOKUP($B74,'[5]Budget Total-FY20 (P&amp;L)'!$B$4:$U$105,19,FALSE),0)</f>
        <v>0</v>
      </c>
      <c r="U74" s="302">
        <f>IFERROR(VLOOKUP($B74,'[5]Budget Total-FY20 (P&amp;L)'!$B$4:$U$105,20,FALSE),0)</f>
        <v>75</v>
      </c>
      <c r="W74" s="142"/>
    </row>
    <row r="75" spans="2:23" x14ac:dyDescent="0.2">
      <c r="B75" s="268">
        <v>5291</v>
      </c>
      <c r="C75" s="262" t="s">
        <v>179</v>
      </c>
      <c r="D75" s="253">
        <f>IFERROR(VLOOKUP($B75,'[5]Budget Total-FY20 (P&amp;L)'!$B$4:$P$105,3,FALSE),0)</f>
        <v>0</v>
      </c>
      <c r="E75" s="253">
        <f>IFERROR(VLOOKUP($B75,'[5]Budget Total-FY20 (P&amp;L)'!$B$4:$P$105,4,FALSE),0)</f>
        <v>0</v>
      </c>
      <c r="F75" s="253">
        <f>IFERROR(VLOOKUP($B75,'[5]Budget Total-FY20 (P&amp;L)'!$B$4:$P$105,5,FALSE),0)</f>
        <v>0</v>
      </c>
      <c r="G75" s="253">
        <f>IFERROR(VLOOKUP($B75,'[5]Budget Total-FY20 (P&amp;L)'!$B$4:$P$105,6,FALSE),0)</f>
        <v>0</v>
      </c>
      <c r="H75" s="253">
        <f>IFERROR(VLOOKUP($B75,'[5]Budget Total-FY20 (P&amp;L)'!$B$4:$P$105,7,FALSE),0)</f>
        <v>0</v>
      </c>
      <c r="I75" s="253">
        <f>IFERROR(VLOOKUP($B75,'[5]Budget Total-FY20 (P&amp;L)'!$B$4:$P$105,8,FALSE),0)</f>
        <v>150</v>
      </c>
      <c r="J75" s="253">
        <f>IFERROR(VLOOKUP($B75,'[5]Budget Total-FY20 (P&amp;L)'!$B$4:$P$105,9,FALSE),0)</f>
        <v>0</v>
      </c>
      <c r="K75" s="253">
        <f>IFERROR(VLOOKUP($B75,'[5]Budget Total-FY20 (P&amp;L)'!$B$4:$P$105,10,FALSE),0)</f>
        <v>0</v>
      </c>
      <c r="L75" s="253">
        <f>IFERROR(VLOOKUP($B75,'[5]Budget Total-FY20 (P&amp;L)'!$B$4:$P$105,11,FALSE),0)</f>
        <v>0</v>
      </c>
      <c r="M75" s="253">
        <f>IFERROR(VLOOKUP($B75,'[5]Budget Total-FY20 (P&amp;L)'!$B$4:$P$105,12,FALSE),0)</f>
        <v>0</v>
      </c>
      <c r="N75" s="253">
        <f>IFERROR(VLOOKUP($B75,'[5]Budget Total-FY20 (P&amp;L)'!$B$4:$P$105,13,FALSE),0)</f>
        <v>0</v>
      </c>
      <c r="O75" s="253">
        <f>IFERROR(VLOOKUP($B75,'[5]Budget Total-FY20 (P&amp;L)'!$B$4:$P$105,14,FALSE),0)</f>
        <v>0</v>
      </c>
      <c r="P75" s="306">
        <f t="shared" si="5"/>
        <v>150</v>
      </c>
      <c r="Q75" s="307"/>
      <c r="R75" s="304"/>
      <c r="S75" s="302">
        <f t="shared" si="6"/>
        <v>150</v>
      </c>
      <c r="T75" s="307">
        <f>IFERROR(VLOOKUP($B75,'[5]Budget Total-FY20 (P&amp;L)'!$B$4:$U$105,19,FALSE),0)</f>
        <v>210</v>
      </c>
      <c r="U75" s="302">
        <f>IFERROR(VLOOKUP($B75,'[5]Budget Total-FY20 (P&amp;L)'!$B$4:$U$105,20,FALSE),0)</f>
        <v>150</v>
      </c>
      <c r="W75" s="142"/>
    </row>
    <row r="76" spans="2:23" x14ac:dyDescent="0.2">
      <c r="B76" s="265">
        <v>5367</v>
      </c>
      <c r="C76" s="262" t="s">
        <v>182</v>
      </c>
      <c r="D76" s="253">
        <f>IFERROR(VLOOKUP($B76,'[5]Budget Total-FY20 (P&amp;L)'!$B$4:$P$105,3,FALSE),0)</f>
        <v>176</v>
      </c>
      <c r="E76" s="253">
        <f>IFERROR(VLOOKUP($B76,'[5]Budget Total-FY20 (P&amp;L)'!$B$4:$P$105,4,FALSE),0)</f>
        <v>2926</v>
      </c>
      <c r="F76" s="253">
        <f>IFERROR(VLOOKUP($B76,'[5]Budget Total-FY20 (P&amp;L)'!$B$4:$P$105,5,FALSE),0)</f>
        <v>176</v>
      </c>
      <c r="G76" s="253">
        <f>IFERROR(VLOOKUP($B76,'[5]Budget Total-FY20 (P&amp;L)'!$B$4:$P$105,6,FALSE),0)</f>
        <v>176</v>
      </c>
      <c r="H76" s="253">
        <f>IFERROR(VLOOKUP($B76,'[5]Budget Total-FY20 (P&amp;L)'!$B$4:$P$105,7,FALSE),0)</f>
        <v>2926</v>
      </c>
      <c r="I76" s="253">
        <f>IFERROR(VLOOKUP($B76,'[5]Budget Total-FY20 (P&amp;L)'!$B$4:$P$105,8,FALSE),0)</f>
        <v>176</v>
      </c>
      <c r="J76" s="253">
        <f>IFERROR(VLOOKUP($B76,'[5]Budget Total-FY20 (P&amp;L)'!$B$4:$P$105,9,FALSE),0)</f>
        <v>176</v>
      </c>
      <c r="K76" s="253">
        <f>IFERROR(VLOOKUP($B76,'[5]Budget Total-FY20 (P&amp;L)'!$B$4:$P$105,10,FALSE),0)</f>
        <v>2926</v>
      </c>
      <c r="L76" s="253">
        <f>IFERROR(VLOOKUP($B76,'[5]Budget Total-FY20 (P&amp;L)'!$B$4:$P$105,11,FALSE),0)</f>
        <v>176</v>
      </c>
      <c r="M76" s="253">
        <f>IFERROR(VLOOKUP($B76,'[5]Budget Total-FY20 (P&amp;L)'!$B$4:$P$105,12,FALSE),0)</f>
        <v>176</v>
      </c>
      <c r="N76" s="253">
        <f>IFERROR(VLOOKUP($B76,'[5]Budget Total-FY20 (P&amp;L)'!$B$4:$P$105,13,FALSE),0)</f>
        <v>2926</v>
      </c>
      <c r="O76" s="253">
        <f>IFERROR(VLOOKUP($B76,'[5]Budget Total-FY20 (P&amp;L)'!$B$4:$P$105,14,FALSE),0)</f>
        <v>176</v>
      </c>
      <c r="P76" s="306">
        <f t="shared" si="5"/>
        <v>13112</v>
      </c>
      <c r="Q76" s="307"/>
      <c r="R76" s="304"/>
      <c r="S76" s="302">
        <f t="shared" si="6"/>
        <v>13112</v>
      </c>
      <c r="T76" s="307">
        <f>IFERROR(VLOOKUP($B76,'[5]Budget Total-FY20 (P&amp;L)'!$B$4:$U$105,19,FALSE),0)</f>
        <v>11878.62</v>
      </c>
      <c r="U76" s="302">
        <f>IFERROR(VLOOKUP($B76,'[5]Budget Total-FY20 (P&amp;L)'!$B$4:$U$105,20,FALSE),0)</f>
        <v>12750</v>
      </c>
      <c r="W76" s="142"/>
    </row>
    <row r="77" spans="2:23" x14ac:dyDescent="0.2">
      <c r="B77" s="266" t="s">
        <v>332</v>
      </c>
      <c r="C77" s="262" t="s">
        <v>185</v>
      </c>
      <c r="D77" s="253">
        <f>IFERROR(VLOOKUP($B77,'[5]Budget Total-FY20 (P&amp;L)'!$B$4:$P$105,3,FALSE),0)</f>
        <v>500</v>
      </c>
      <c r="E77" s="253">
        <f>IFERROR(VLOOKUP($B77,'[5]Budget Total-FY20 (P&amp;L)'!$B$4:$P$105,4,FALSE),0)</f>
        <v>500</v>
      </c>
      <c r="F77" s="253">
        <f>IFERROR(VLOOKUP($B77,'[5]Budget Total-FY20 (P&amp;L)'!$B$4:$P$105,5,FALSE),0)</f>
        <v>500</v>
      </c>
      <c r="G77" s="253">
        <f>IFERROR(VLOOKUP($B77,'[5]Budget Total-FY20 (P&amp;L)'!$B$4:$P$105,6,FALSE),0)</f>
        <v>500</v>
      </c>
      <c r="H77" s="253">
        <f>IFERROR(VLOOKUP($B77,'[5]Budget Total-FY20 (P&amp;L)'!$B$4:$P$105,7,FALSE),0)</f>
        <v>500</v>
      </c>
      <c r="I77" s="253">
        <f>IFERROR(VLOOKUP($B77,'[5]Budget Total-FY20 (P&amp;L)'!$B$4:$P$105,8,FALSE),0)</f>
        <v>500</v>
      </c>
      <c r="J77" s="253">
        <f>IFERROR(VLOOKUP($B77,'[5]Budget Total-FY20 (P&amp;L)'!$B$4:$P$105,9,FALSE),0)</f>
        <v>500</v>
      </c>
      <c r="K77" s="253">
        <f>IFERROR(VLOOKUP($B77,'[5]Budget Total-FY20 (P&amp;L)'!$B$4:$P$105,10,FALSE),0)</f>
        <v>500</v>
      </c>
      <c r="L77" s="253">
        <f>IFERROR(VLOOKUP($B77,'[5]Budget Total-FY20 (P&amp;L)'!$B$4:$P$105,11,FALSE),0)</f>
        <v>500</v>
      </c>
      <c r="M77" s="253">
        <f>IFERROR(VLOOKUP($B77,'[5]Budget Total-FY20 (P&amp;L)'!$B$4:$P$105,12,FALSE),0)</f>
        <v>500</v>
      </c>
      <c r="N77" s="253">
        <f>IFERROR(VLOOKUP($B77,'[5]Budget Total-FY20 (P&amp;L)'!$B$4:$P$105,13,FALSE),0)</f>
        <v>500</v>
      </c>
      <c r="O77" s="253">
        <f>IFERROR(VLOOKUP($B77,'[5]Budget Total-FY20 (P&amp;L)'!$B$4:$P$105,14,FALSE),0)</f>
        <v>500</v>
      </c>
      <c r="P77" s="306">
        <f t="shared" si="5"/>
        <v>6000</v>
      </c>
      <c r="Q77" s="307"/>
      <c r="R77" s="304"/>
      <c r="S77" s="302">
        <f t="shared" si="6"/>
        <v>6000</v>
      </c>
      <c r="T77" s="307">
        <f>IFERROR(VLOOKUP($B77,'[5]Budget Total-FY20 (P&amp;L)'!$B$4:$U$105,19,FALSE),0)</f>
        <v>5073.32</v>
      </c>
      <c r="U77" s="302">
        <f>IFERROR(VLOOKUP($B77,'[5]Budget Total-FY20 (P&amp;L)'!$B$4:$U$105,20,FALSE),0)</f>
        <v>8000</v>
      </c>
      <c r="W77" s="142"/>
    </row>
    <row r="78" spans="2:23" x14ac:dyDescent="0.2">
      <c r="B78" s="268">
        <v>5114</v>
      </c>
      <c r="C78" s="262" t="s">
        <v>186</v>
      </c>
      <c r="D78" s="253">
        <f>IFERROR(VLOOKUP($B78,'[5]Budget Total-FY20 (P&amp;L)'!$B$4:$P$105,3,FALSE),0)</f>
        <v>100</v>
      </c>
      <c r="E78" s="253">
        <f>IFERROR(VLOOKUP($B78,'[5]Budget Total-FY20 (P&amp;L)'!$B$4:$P$105,4,FALSE),0)</f>
        <v>100</v>
      </c>
      <c r="F78" s="253">
        <f>IFERROR(VLOOKUP($B78,'[5]Budget Total-FY20 (P&amp;L)'!$B$4:$P$105,5,FALSE),0)</f>
        <v>100</v>
      </c>
      <c r="G78" s="253">
        <f>IFERROR(VLOOKUP($B78,'[5]Budget Total-FY20 (P&amp;L)'!$B$4:$P$105,6,FALSE),0)</f>
        <v>100</v>
      </c>
      <c r="H78" s="253">
        <f>IFERROR(VLOOKUP($B78,'[5]Budget Total-FY20 (P&amp;L)'!$B$4:$P$105,7,FALSE),0)</f>
        <v>100</v>
      </c>
      <c r="I78" s="253">
        <f>IFERROR(VLOOKUP($B78,'[5]Budget Total-FY20 (P&amp;L)'!$B$4:$P$105,8,FALSE),0)</f>
        <v>100</v>
      </c>
      <c r="J78" s="253">
        <f>IFERROR(VLOOKUP($B78,'[5]Budget Total-FY20 (P&amp;L)'!$B$4:$P$105,9,FALSE),0)</f>
        <v>100</v>
      </c>
      <c r="K78" s="253">
        <f>IFERROR(VLOOKUP($B78,'[5]Budget Total-FY20 (P&amp;L)'!$B$4:$P$105,10,FALSE),0)</f>
        <v>100</v>
      </c>
      <c r="L78" s="253">
        <f>IFERROR(VLOOKUP($B78,'[5]Budget Total-FY20 (P&amp;L)'!$B$4:$P$105,11,FALSE),0)</f>
        <v>100</v>
      </c>
      <c r="M78" s="253">
        <f>IFERROR(VLOOKUP($B78,'[5]Budget Total-FY20 (P&amp;L)'!$B$4:$P$105,12,FALSE),0)</f>
        <v>100</v>
      </c>
      <c r="N78" s="253">
        <f>IFERROR(VLOOKUP($B78,'[5]Budget Total-FY20 (P&amp;L)'!$B$4:$P$105,13,FALSE),0)</f>
        <v>100</v>
      </c>
      <c r="O78" s="253">
        <f>IFERROR(VLOOKUP($B78,'[5]Budget Total-FY20 (P&amp;L)'!$B$4:$P$105,14,FALSE),0)</f>
        <v>100</v>
      </c>
      <c r="P78" s="306">
        <f t="shared" si="5"/>
        <v>1200</v>
      </c>
      <c r="Q78" s="307"/>
      <c r="R78" s="304"/>
      <c r="S78" s="302">
        <f t="shared" si="6"/>
        <v>1200</v>
      </c>
      <c r="T78" s="307">
        <f>IFERROR(VLOOKUP($B78,'[5]Budget Total-FY20 (P&amp;L)'!$B$4:$U$105,19,FALSE),0)</f>
        <v>900</v>
      </c>
      <c r="U78" s="302">
        <f>IFERROR(VLOOKUP($B78,'[5]Budget Total-FY20 (P&amp;L)'!$B$4:$U$105,20,FALSE),0)</f>
        <v>1200</v>
      </c>
      <c r="W78" s="142"/>
    </row>
    <row r="79" spans="2:23" x14ac:dyDescent="0.2">
      <c r="B79" s="270" t="s">
        <v>333</v>
      </c>
      <c r="C79" s="262" t="s">
        <v>334</v>
      </c>
      <c r="D79" s="253">
        <f>IFERROR(VLOOKUP($B79,'[5]Budget Total-FY20 (P&amp;L)'!$B$4:$P$105,3,FALSE),0)</f>
        <v>2006</v>
      </c>
      <c r="E79" s="253">
        <f>IFERROR(VLOOKUP($B79,'[5]Budget Total-FY20 (P&amp;L)'!$B$4:$P$105,4,FALSE),0)</f>
        <v>2006</v>
      </c>
      <c r="F79" s="253">
        <f>IFERROR(VLOOKUP($B79,'[5]Budget Total-FY20 (P&amp;L)'!$B$4:$P$105,5,FALSE),0)</f>
        <v>2006</v>
      </c>
      <c r="G79" s="253">
        <f>IFERROR(VLOOKUP($B79,'[5]Budget Total-FY20 (P&amp;L)'!$B$4:$P$105,6,FALSE),0)</f>
        <v>2006</v>
      </c>
      <c r="H79" s="253">
        <f>IFERROR(VLOOKUP($B79,'[5]Budget Total-FY20 (P&amp;L)'!$B$4:$P$105,7,FALSE),0)</f>
        <v>2006</v>
      </c>
      <c r="I79" s="253">
        <f>IFERROR(VLOOKUP($B79,'[5]Budget Total-FY20 (P&amp;L)'!$B$4:$P$105,8,FALSE),0)</f>
        <v>2006</v>
      </c>
      <c r="J79" s="253">
        <f>IFERROR(VLOOKUP($B79,'[5]Budget Total-FY20 (P&amp;L)'!$B$4:$P$105,9,FALSE),0)</f>
        <v>2006</v>
      </c>
      <c r="K79" s="253">
        <f>IFERROR(VLOOKUP($B79,'[5]Budget Total-FY20 (P&amp;L)'!$B$4:$P$105,10,FALSE),0)</f>
        <v>2006</v>
      </c>
      <c r="L79" s="253">
        <f>IFERROR(VLOOKUP($B79,'[5]Budget Total-FY20 (P&amp;L)'!$B$4:$P$105,11,FALSE),0)</f>
        <v>2006</v>
      </c>
      <c r="M79" s="253">
        <f>IFERROR(VLOOKUP($B79,'[5]Budget Total-FY20 (P&amp;L)'!$B$4:$P$105,12,FALSE),0)</f>
        <v>2006</v>
      </c>
      <c r="N79" s="253">
        <f>IFERROR(VLOOKUP($B79,'[5]Budget Total-FY20 (P&amp;L)'!$B$4:$P$105,13,FALSE),0)</f>
        <v>1006</v>
      </c>
      <c r="O79" s="253">
        <f>IFERROR(VLOOKUP($B79,'[5]Budget Total-FY20 (P&amp;L)'!$B$4:$P$105,14,FALSE),0)</f>
        <v>2006</v>
      </c>
      <c r="P79" s="306">
        <f t="shared" si="5"/>
        <v>23072</v>
      </c>
      <c r="Q79" s="307"/>
      <c r="R79" s="304"/>
      <c r="S79" s="302">
        <f t="shared" si="6"/>
        <v>23072</v>
      </c>
      <c r="T79" s="307">
        <f>IFERROR(VLOOKUP($B79,'[5]Budget Total-FY20 (P&amp;L)'!$B$4:$U$105,19,FALSE),0)</f>
        <v>17412.100000000002</v>
      </c>
      <c r="U79" s="302">
        <f>IFERROR(VLOOKUP($B79,'[5]Budget Total-FY20 (P&amp;L)'!$B$4:$U$105,20,FALSE),0)</f>
        <v>23296</v>
      </c>
      <c r="W79" s="142"/>
    </row>
    <row r="80" spans="2:23" x14ac:dyDescent="0.2">
      <c r="B80" s="265">
        <v>8285</v>
      </c>
      <c r="C80" s="262" t="s">
        <v>190</v>
      </c>
      <c r="D80" s="253">
        <f>IFERROR(VLOOKUP($B80,'[5]Budget Total-FY20 (P&amp;L)'!$B$4:$P$105,3,FALSE),0)</f>
        <v>700</v>
      </c>
      <c r="E80" s="253">
        <f>IFERROR(VLOOKUP($B80,'[5]Budget Total-FY20 (P&amp;L)'!$B$4:$P$105,4,FALSE),0)</f>
        <v>700</v>
      </c>
      <c r="F80" s="253">
        <f>IFERROR(VLOOKUP($B80,'[5]Budget Total-FY20 (P&amp;L)'!$B$4:$P$105,5,FALSE),0)</f>
        <v>700</v>
      </c>
      <c r="G80" s="253">
        <f>IFERROR(VLOOKUP($B80,'[5]Budget Total-FY20 (P&amp;L)'!$B$4:$P$105,6,FALSE),0)</f>
        <v>700</v>
      </c>
      <c r="H80" s="253">
        <f>IFERROR(VLOOKUP($B80,'[5]Budget Total-FY20 (P&amp;L)'!$B$4:$P$105,7,FALSE),0)</f>
        <v>700</v>
      </c>
      <c r="I80" s="253">
        <f>IFERROR(VLOOKUP($B80,'[5]Budget Total-FY20 (P&amp;L)'!$B$4:$P$105,8,FALSE),0)</f>
        <v>700</v>
      </c>
      <c r="J80" s="253">
        <f>IFERROR(VLOOKUP($B80,'[5]Budget Total-FY20 (P&amp;L)'!$B$4:$P$105,9,FALSE),0)</f>
        <v>700</v>
      </c>
      <c r="K80" s="253">
        <f>IFERROR(VLOOKUP($B80,'[5]Budget Total-FY20 (P&amp;L)'!$B$4:$P$105,10,FALSE),0)</f>
        <v>700</v>
      </c>
      <c r="L80" s="253">
        <f>IFERROR(VLOOKUP($B80,'[5]Budget Total-FY20 (P&amp;L)'!$B$4:$P$105,11,FALSE),0)</f>
        <v>700</v>
      </c>
      <c r="M80" s="253">
        <f>IFERROR(VLOOKUP($B80,'[5]Budget Total-FY20 (P&amp;L)'!$B$4:$P$105,12,FALSE),0)</f>
        <v>700</v>
      </c>
      <c r="N80" s="253">
        <f>IFERROR(VLOOKUP($B80,'[5]Budget Total-FY20 (P&amp;L)'!$B$4:$P$105,13,FALSE),0)</f>
        <v>700</v>
      </c>
      <c r="O80" s="253">
        <f>IFERROR(VLOOKUP($B80,'[5]Budget Total-FY20 (P&amp;L)'!$B$4:$P$105,14,FALSE),0)</f>
        <v>700</v>
      </c>
      <c r="P80" s="306">
        <f t="shared" si="5"/>
        <v>8400</v>
      </c>
      <c r="Q80" s="307"/>
      <c r="R80" s="304"/>
      <c r="S80" s="302">
        <f t="shared" si="6"/>
        <v>8400</v>
      </c>
      <c r="T80" s="307">
        <f>IFERROR(VLOOKUP($B80,'[5]Budget Total-FY20 (P&amp;L)'!$B$4:$U$105,19,FALSE),0)</f>
        <v>4917.5</v>
      </c>
      <c r="U80" s="302">
        <f>IFERROR(VLOOKUP($B80,'[5]Budget Total-FY20 (P&amp;L)'!$B$4:$U$105,20,FALSE),0)</f>
        <v>11520</v>
      </c>
      <c r="W80" s="142"/>
    </row>
    <row r="81" spans="2:24" x14ac:dyDescent="0.2">
      <c r="B81" s="265">
        <v>5363</v>
      </c>
      <c r="C81" s="262" t="s">
        <v>192</v>
      </c>
      <c r="D81" s="253">
        <f>IFERROR(VLOOKUP($B81,'[5]Budget Total-FY20 (P&amp;L)'!$B$4:$P$105,3,FALSE),0)</f>
        <v>1500</v>
      </c>
      <c r="E81" s="253">
        <f>IFERROR(VLOOKUP($B81,'[5]Budget Total-FY20 (P&amp;L)'!$B$4:$P$105,4,FALSE),0)</f>
        <v>1500</v>
      </c>
      <c r="F81" s="253">
        <f>IFERROR(VLOOKUP($B81,'[5]Budget Total-FY20 (P&amp;L)'!$B$4:$P$105,5,FALSE),0)</f>
        <v>1500</v>
      </c>
      <c r="G81" s="253">
        <f>IFERROR(VLOOKUP($B81,'[5]Budget Total-FY20 (P&amp;L)'!$B$4:$P$105,6,FALSE),0)</f>
        <v>1500</v>
      </c>
      <c r="H81" s="253">
        <f>IFERROR(VLOOKUP($B81,'[5]Budget Total-FY20 (P&amp;L)'!$B$4:$P$105,7,FALSE),0)</f>
        <v>1300</v>
      </c>
      <c r="I81" s="253">
        <f>IFERROR(VLOOKUP($B81,'[5]Budget Total-FY20 (P&amp;L)'!$B$4:$P$105,8,FALSE),0)</f>
        <v>1300</v>
      </c>
      <c r="J81" s="253">
        <f>IFERROR(VLOOKUP($B81,'[5]Budget Total-FY20 (P&amp;L)'!$B$4:$P$105,9,FALSE),0)</f>
        <v>1500</v>
      </c>
      <c r="K81" s="253">
        <f>IFERROR(VLOOKUP($B81,'[5]Budget Total-FY20 (P&amp;L)'!$B$4:$P$105,10,FALSE),0)</f>
        <v>1500</v>
      </c>
      <c r="L81" s="253">
        <f>IFERROR(VLOOKUP($B81,'[5]Budget Total-FY20 (P&amp;L)'!$B$4:$P$105,11,FALSE),0)</f>
        <v>1500</v>
      </c>
      <c r="M81" s="253">
        <f>IFERROR(VLOOKUP($B81,'[5]Budget Total-FY20 (P&amp;L)'!$B$4:$P$105,12,FALSE),0)</f>
        <v>1500</v>
      </c>
      <c r="N81" s="253">
        <f>IFERROR(VLOOKUP($B81,'[5]Budget Total-FY20 (P&amp;L)'!$B$4:$P$105,13,FALSE),0)</f>
        <v>1500</v>
      </c>
      <c r="O81" s="253">
        <f>IFERROR(VLOOKUP($B81,'[5]Budget Total-FY20 (P&amp;L)'!$B$4:$P$105,14,FALSE),0)</f>
        <v>1500</v>
      </c>
      <c r="P81" s="306">
        <f t="shared" si="5"/>
        <v>17600</v>
      </c>
      <c r="Q81" s="307"/>
      <c r="R81" s="304"/>
      <c r="S81" s="302">
        <f t="shared" si="6"/>
        <v>17600</v>
      </c>
      <c r="T81" s="307">
        <f>IFERROR(VLOOKUP($B81,'[5]Budget Total-FY20 (P&amp;L)'!$B$4:$U$105,19,FALSE),0)</f>
        <v>13182</v>
      </c>
      <c r="U81" s="302">
        <f>IFERROR(VLOOKUP($B81,'[5]Budget Total-FY20 (P&amp;L)'!$B$4:$U$105,20,FALSE),0)</f>
        <v>15000</v>
      </c>
      <c r="W81" s="142"/>
    </row>
    <row r="82" spans="2:24" x14ac:dyDescent="0.2">
      <c r="B82" s="265">
        <v>5356</v>
      </c>
      <c r="C82" s="262" t="s">
        <v>193</v>
      </c>
      <c r="D82" s="253">
        <f>IFERROR(VLOOKUP($B82,'[5]Budget Total-FY20 (P&amp;L)'!$B$4:$P$105,3,FALSE),0)</f>
        <v>200</v>
      </c>
      <c r="E82" s="253">
        <f>IFERROR(VLOOKUP($B82,'[5]Budget Total-FY20 (P&amp;L)'!$B$4:$P$105,4,FALSE),0)</f>
        <v>0</v>
      </c>
      <c r="F82" s="253">
        <f>IFERROR(VLOOKUP($B82,'[5]Budget Total-FY20 (P&amp;L)'!$B$4:$P$105,5,FALSE),0)</f>
        <v>0</v>
      </c>
      <c r="G82" s="253">
        <f>IFERROR(VLOOKUP($B82,'[5]Budget Total-FY20 (P&amp;L)'!$B$4:$P$105,6,FALSE),0)</f>
        <v>0</v>
      </c>
      <c r="H82" s="253">
        <f>IFERROR(VLOOKUP($B82,'[5]Budget Total-FY20 (P&amp;L)'!$B$4:$P$105,7,FALSE),0)</f>
        <v>0</v>
      </c>
      <c r="I82" s="253">
        <f>IFERROR(VLOOKUP($B82,'[5]Budget Total-FY20 (P&amp;L)'!$B$4:$P$105,8,FALSE),0)</f>
        <v>0</v>
      </c>
      <c r="J82" s="253">
        <f>IFERROR(VLOOKUP($B82,'[5]Budget Total-FY20 (P&amp;L)'!$B$4:$P$105,9,FALSE),0)</f>
        <v>0</v>
      </c>
      <c r="K82" s="253">
        <f>IFERROR(VLOOKUP($B82,'[5]Budget Total-FY20 (P&amp;L)'!$B$4:$P$105,10,FALSE),0)</f>
        <v>0</v>
      </c>
      <c r="L82" s="253">
        <f>IFERROR(VLOOKUP($B82,'[5]Budget Total-FY20 (P&amp;L)'!$B$4:$P$105,11,FALSE),0)</f>
        <v>0</v>
      </c>
      <c r="M82" s="253">
        <f>IFERROR(VLOOKUP($B82,'[5]Budget Total-FY20 (P&amp;L)'!$B$4:$P$105,12,FALSE),0)</f>
        <v>0</v>
      </c>
      <c r="N82" s="253">
        <f>IFERROR(VLOOKUP($B82,'[5]Budget Total-FY20 (P&amp;L)'!$B$4:$P$105,13,FALSE),0)</f>
        <v>0</v>
      </c>
      <c r="O82" s="253">
        <f>IFERROR(VLOOKUP($B82,'[5]Budget Total-FY20 (P&amp;L)'!$B$4:$P$105,14,FALSE),0)</f>
        <v>0</v>
      </c>
      <c r="P82" s="306">
        <f t="shared" si="5"/>
        <v>200</v>
      </c>
      <c r="Q82" s="307"/>
      <c r="R82" s="304"/>
      <c r="S82" s="302">
        <f t="shared" si="6"/>
        <v>200</v>
      </c>
      <c r="T82" s="307">
        <f>IFERROR(VLOOKUP($B82,'[5]Budget Total-FY20 (P&amp;L)'!$B$4:$U$105,19,FALSE),0)</f>
        <v>112.92</v>
      </c>
      <c r="U82" s="302">
        <f>IFERROR(VLOOKUP($B82,'[5]Budget Total-FY20 (P&amp;L)'!$B$4:$U$105,20,FALSE),0)</f>
        <v>1750</v>
      </c>
      <c r="W82" s="142"/>
    </row>
    <row r="83" spans="2:24" x14ac:dyDescent="0.2">
      <c r="B83" s="266" t="s">
        <v>335</v>
      </c>
      <c r="C83" s="262" t="s">
        <v>194</v>
      </c>
      <c r="D83" s="253">
        <f>IFERROR(VLOOKUP($B83,'[5]Budget Total-FY20 (P&amp;L)'!$B$4:$P$105,3,FALSE),0)</f>
        <v>2370</v>
      </c>
      <c r="E83" s="253">
        <f>IFERROR(VLOOKUP($B83,'[5]Budget Total-FY20 (P&amp;L)'!$B$4:$P$105,4,FALSE),0)</f>
        <v>2370</v>
      </c>
      <c r="F83" s="253">
        <f>IFERROR(VLOOKUP($B83,'[5]Budget Total-FY20 (P&amp;L)'!$B$4:$P$105,5,FALSE),0)</f>
        <v>2370</v>
      </c>
      <c r="G83" s="253">
        <f>IFERROR(VLOOKUP($B83,'[5]Budget Total-FY20 (P&amp;L)'!$B$4:$P$105,6,FALSE),0)</f>
        <v>2370</v>
      </c>
      <c r="H83" s="253">
        <f>IFERROR(VLOOKUP($B83,'[5]Budget Total-FY20 (P&amp;L)'!$B$4:$P$105,7,FALSE),0)</f>
        <v>2370</v>
      </c>
      <c r="I83" s="253">
        <f>IFERROR(VLOOKUP($B83,'[5]Budget Total-FY20 (P&amp;L)'!$B$4:$P$105,8,FALSE),0)</f>
        <v>2370</v>
      </c>
      <c r="J83" s="253">
        <f>IFERROR(VLOOKUP($B83,'[5]Budget Total-FY20 (P&amp;L)'!$B$4:$P$105,9,FALSE),0)</f>
        <v>2370</v>
      </c>
      <c r="K83" s="253">
        <f>IFERROR(VLOOKUP($B83,'[5]Budget Total-FY20 (P&amp;L)'!$B$4:$P$105,10,FALSE),0)</f>
        <v>2370</v>
      </c>
      <c r="L83" s="253">
        <f>IFERROR(VLOOKUP($B83,'[5]Budget Total-FY20 (P&amp;L)'!$B$4:$P$105,11,FALSE),0)</f>
        <v>2370</v>
      </c>
      <c r="M83" s="253">
        <f>IFERROR(VLOOKUP($B83,'[5]Budget Total-FY20 (P&amp;L)'!$B$4:$P$105,12,FALSE),0)</f>
        <v>2370</v>
      </c>
      <c r="N83" s="253">
        <f>IFERROR(VLOOKUP($B83,'[5]Budget Total-FY20 (P&amp;L)'!$B$4:$P$105,13,FALSE),0)</f>
        <v>2370</v>
      </c>
      <c r="O83" s="253">
        <f>IFERROR(VLOOKUP($B83,'[5]Budget Total-FY20 (P&amp;L)'!$B$4:$P$105,14,FALSE),0)</f>
        <v>2370</v>
      </c>
      <c r="P83" s="306">
        <f t="shared" si="5"/>
        <v>28440</v>
      </c>
      <c r="Q83" s="307"/>
      <c r="R83" s="304"/>
      <c r="S83" s="302">
        <f t="shared" si="6"/>
        <v>28440</v>
      </c>
      <c r="T83" s="307">
        <f>IFERROR(VLOOKUP($B83,'[5]Budget Total-FY20 (P&amp;L)'!$B$4:$U$105,19,FALSE),0)</f>
        <v>21281.760000000002</v>
      </c>
      <c r="U83" s="302">
        <f>IFERROR(VLOOKUP($B83,'[5]Budget Total-FY20 (P&amp;L)'!$B$4:$U$105,20,FALSE),0)</f>
        <v>25450</v>
      </c>
      <c r="W83" s="142"/>
    </row>
    <row r="84" spans="2:24" x14ac:dyDescent="0.2">
      <c r="B84" s="265" t="s">
        <v>336</v>
      </c>
      <c r="C84" s="262" t="s">
        <v>337</v>
      </c>
      <c r="D84" s="253">
        <f>IFERROR(VLOOKUP($B84,'[5]Budget Total-FY20 (P&amp;L)'!$B$4:$P$105,3,FALSE),0)</f>
        <v>833.33333333333337</v>
      </c>
      <c r="E84" s="253">
        <f>IFERROR(VLOOKUP($B84,'[5]Budget Total-FY20 (P&amp;L)'!$B$4:$P$105,4,FALSE),0)</f>
        <v>1033.3333333333335</v>
      </c>
      <c r="F84" s="253">
        <f>IFERROR(VLOOKUP($B84,'[5]Budget Total-FY20 (P&amp;L)'!$B$4:$P$105,5,FALSE),0)</f>
        <v>833.33333333333337</v>
      </c>
      <c r="G84" s="253">
        <f>IFERROR(VLOOKUP($B84,'[5]Budget Total-FY20 (P&amp;L)'!$B$4:$P$105,6,FALSE),0)</f>
        <v>1033.3333333333335</v>
      </c>
      <c r="H84" s="253">
        <f>IFERROR(VLOOKUP($B84,'[5]Budget Total-FY20 (P&amp;L)'!$B$4:$P$105,7,FALSE),0)</f>
        <v>833.33333333333337</v>
      </c>
      <c r="I84" s="253">
        <f>IFERROR(VLOOKUP($B84,'[5]Budget Total-FY20 (P&amp;L)'!$B$4:$P$105,8,FALSE),0)</f>
        <v>1033.3333333333335</v>
      </c>
      <c r="J84" s="253">
        <f>IFERROR(VLOOKUP($B84,'[5]Budget Total-FY20 (P&amp;L)'!$B$4:$P$105,9,FALSE),0)</f>
        <v>833.33333333333337</v>
      </c>
      <c r="K84" s="253">
        <f>IFERROR(VLOOKUP($B84,'[5]Budget Total-FY20 (P&amp;L)'!$B$4:$P$105,10,FALSE),0)</f>
        <v>1033.3333333333335</v>
      </c>
      <c r="L84" s="253">
        <f>IFERROR(VLOOKUP($B84,'[5]Budget Total-FY20 (P&amp;L)'!$B$4:$P$105,11,FALSE),0)</f>
        <v>833.33333333333337</v>
      </c>
      <c r="M84" s="253">
        <f>IFERROR(VLOOKUP($B84,'[5]Budget Total-FY20 (P&amp;L)'!$B$4:$P$105,12,FALSE),0)</f>
        <v>1033.3333333333335</v>
      </c>
      <c r="N84" s="253">
        <f>IFERROR(VLOOKUP($B84,'[5]Budget Total-FY20 (P&amp;L)'!$B$4:$P$105,13,FALSE),0)</f>
        <v>833.33333333333337</v>
      </c>
      <c r="O84" s="253">
        <f>IFERROR(VLOOKUP($B84,'[5]Budget Total-FY20 (P&amp;L)'!$B$4:$P$105,14,FALSE),0)</f>
        <v>833.33333333333337</v>
      </c>
      <c r="P84" s="306">
        <f t="shared" si="5"/>
        <v>11000</v>
      </c>
      <c r="Q84" s="307"/>
      <c r="R84" s="304"/>
      <c r="S84" s="302">
        <f t="shared" si="6"/>
        <v>11000</v>
      </c>
      <c r="T84" s="307">
        <f>IFERROR(VLOOKUP($B84,'[5]Budget Total-FY20 (P&amp;L)'!$B$4:$U$105,19,FALSE),0)</f>
        <v>14532.35</v>
      </c>
      <c r="U84" s="302">
        <f>IFERROR(VLOOKUP($B84,'[5]Budget Total-FY20 (P&amp;L)'!$B$4:$U$105,20,FALSE),0)</f>
        <v>10225</v>
      </c>
      <c r="W84" s="142"/>
    </row>
    <row r="85" spans="2:24" x14ac:dyDescent="0.2">
      <c r="B85" s="265" t="s">
        <v>338</v>
      </c>
      <c r="C85" s="262" t="s">
        <v>339</v>
      </c>
      <c r="D85" s="253">
        <f>IFERROR(VLOOKUP($B85,'[5]Budget Total-FY20 (P&amp;L)'!$B$4:$P$105,3,FALSE),0)</f>
        <v>1362.5</v>
      </c>
      <c r="E85" s="253">
        <f>IFERROR(VLOOKUP($B85,'[5]Budget Total-FY20 (P&amp;L)'!$B$4:$P$105,4,FALSE),0)</f>
        <v>1362.5</v>
      </c>
      <c r="F85" s="253">
        <f>IFERROR(VLOOKUP($B85,'[5]Budget Total-FY20 (P&amp;L)'!$B$4:$P$105,5,FALSE),0)</f>
        <v>1362.5</v>
      </c>
      <c r="G85" s="253">
        <f>IFERROR(VLOOKUP($B85,'[5]Budget Total-FY20 (P&amp;L)'!$B$4:$P$105,6,FALSE),0)</f>
        <v>1362.5</v>
      </c>
      <c r="H85" s="253">
        <f>IFERROR(VLOOKUP($B85,'[5]Budget Total-FY20 (P&amp;L)'!$B$4:$P$105,7,FALSE),0)</f>
        <v>1362.5</v>
      </c>
      <c r="I85" s="253">
        <f>IFERROR(VLOOKUP($B85,'[5]Budget Total-FY20 (P&amp;L)'!$B$4:$P$105,8,FALSE),0)</f>
        <v>1362.5</v>
      </c>
      <c r="J85" s="253">
        <f>IFERROR(VLOOKUP($B85,'[5]Budget Total-FY20 (P&amp;L)'!$B$4:$P$105,9,FALSE),0)</f>
        <v>1362.5</v>
      </c>
      <c r="K85" s="253">
        <f>IFERROR(VLOOKUP($B85,'[5]Budget Total-FY20 (P&amp;L)'!$B$4:$P$105,10,FALSE),0)</f>
        <v>1362.5</v>
      </c>
      <c r="L85" s="253">
        <f>IFERROR(VLOOKUP($B85,'[5]Budget Total-FY20 (P&amp;L)'!$B$4:$P$105,11,FALSE),0)</f>
        <v>1362.5</v>
      </c>
      <c r="M85" s="253">
        <f>IFERROR(VLOOKUP($B85,'[5]Budget Total-FY20 (P&amp;L)'!$B$4:$P$105,12,FALSE),0)</f>
        <v>1362.5</v>
      </c>
      <c r="N85" s="253">
        <f>IFERROR(VLOOKUP($B85,'[5]Budget Total-FY20 (P&amp;L)'!$B$4:$P$105,13,FALSE),0)</f>
        <v>362.49999999999994</v>
      </c>
      <c r="O85" s="253">
        <f>IFERROR(VLOOKUP($B85,'[5]Budget Total-FY20 (P&amp;L)'!$B$4:$P$105,14,FALSE),0)</f>
        <v>1362.5</v>
      </c>
      <c r="P85" s="306">
        <f t="shared" si="5"/>
        <v>15350</v>
      </c>
      <c r="Q85" s="307"/>
      <c r="R85" s="304"/>
      <c r="S85" s="302">
        <f t="shared" si="6"/>
        <v>15350</v>
      </c>
      <c r="T85" s="307">
        <f>IFERROR(VLOOKUP($B85,'[5]Budget Total-FY20 (P&amp;L)'!$B$4:$U$105,19,FALSE),0)</f>
        <v>12091.29</v>
      </c>
      <c r="U85" s="302">
        <f>IFERROR(VLOOKUP($B85,'[5]Budget Total-FY20 (P&amp;L)'!$B$4:$U$105,20,FALSE),0)</f>
        <v>14364</v>
      </c>
      <c r="W85" s="142"/>
    </row>
    <row r="86" spans="2:24" x14ac:dyDescent="0.2">
      <c r="B86" s="265" t="s">
        <v>340</v>
      </c>
      <c r="C86" s="262" t="s">
        <v>341</v>
      </c>
      <c r="D86" s="253">
        <f>IFERROR(VLOOKUP($B86,'[5]Budget Total-FY20 (P&amp;L)'!$B$4:$P$105,3,FALSE),0)</f>
        <v>2671.25</v>
      </c>
      <c r="E86" s="253">
        <f>IFERROR(VLOOKUP($B86,'[5]Budget Total-FY20 (P&amp;L)'!$B$4:$P$105,4,FALSE),0)</f>
        <v>0</v>
      </c>
      <c r="F86" s="253">
        <f>IFERROR(VLOOKUP($B86,'[5]Budget Total-FY20 (P&amp;L)'!$B$4:$P$105,5,FALSE),0)</f>
        <v>2671.25</v>
      </c>
      <c r="G86" s="253">
        <f>IFERROR(VLOOKUP($B86,'[5]Budget Total-FY20 (P&amp;L)'!$B$4:$P$105,6,FALSE),0)</f>
        <v>0</v>
      </c>
      <c r="H86" s="253">
        <f>IFERROR(VLOOKUP($B86,'[5]Budget Total-FY20 (P&amp;L)'!$B$4:$P$105,7,FALSE),0)</f>
        <v>0</v>
      </c>
      <c r="I86" s="253">
        <f>IFERROR(VLOOKUP($B86,'[5]Budget Total-FY20 (P&amp;L)'!$B$4:$P$105,8,FALSE),0)</f>
        <v>2671.25</v>
      </c>
      <c r="J86" s="253">
        <f>IFERROR(VLOOKUP($B86,'[5]Budget Total-FY20 (P&amp;L)'!$B$4:$P$105,9,FALSE),0)</f>
        <v>0</v>
      </c>
      <c r="K86" s="253">
        <f>IFERROR(VLOOKUP($B86,'[5]Budget Total-FY20 (P&amp;L)'!$B$4:$P$105,10,FALSE),0)</f>
        <v>0</v>
      </c>
      <c r="L86" s="253">
        <f>IFERROR(VLOOKUP($B86,'[5]Budget Total-FY20 (P&amp;L)'!$B$4:$P$105,11,FALSE),0)</f>
        <v>1938.3750000000002</v>
      </c>
      <c r="M86" s="253">
        <f>IFERROR(VLOOKUP($B86,'[5]Budget Total-FY20 (P&amp;L)'!$B$4:$P$105,12,FALSE),0)</f>
        <v>0</v>
      </c>
      <c r="N86" s="253">
        <f>IFERROR(VLOOKUP($B86,'[5]Budget Total-FY20 (P&amp;L)'!$B$4:$P$105,13,FALSE),0)</f>
        <v>0</v>
      </c>
      <c r="O86" s="253">
        <f>IFERROR(VLOOKUP($B86,'[5]Budget Total-FY20 (P&amp;L)'!$B$4:$P$105,14,FALSE),0)</f>
        <v>0</v>
      </c>
      <c r="P86" s="306">
        <f t="shared" si="5"/>
        <v>9953</v>
      </c>
      <c r="Q86" s="307"/>
      <c r="R86" s="304"/>
      <c r="S86" s="302">
        <f t="shared" si="6"/>
        <v>9953</v>
      </c>
      <c r="T86" s="307">
        <f>IFERROR(VLOOKUP($B86,'[5]Budget Total-FY20 (P&amp;L)'!$B$4:$U$105,19,FALSE),0)</f>
        <v>7584.75</v>
      </c>
      <c r="U86" s="302">
        <f>IFERROR(VLOOKUP($B86,'[5]Budget Total-FY20 (P&amp;L)'!$B$4:$U$105,20,FALSE),0)</f>
        <v>8515</v>
      </c>
      <c r="W86" s="142"/>
    </row>
    <row r="87" spans="2:24" x14ac:dyDescent="0.2">
      <c r="B87" s="265" t="s">
        <v>342</v>
      </c>
      <c r="C87" s="262" t="s">
        <v>343</v>
      </c>
      <c r="D87" s="253">
        <f>IFERROR(VLOOKUP($B87,'[5]Budget Total-FY20 (P&amp;L)'!$B$4:$P$105,3,FALSE),0)</f>
        <v>132</v>
      </c>
      <c r="E87" s="253">
        <f>IFERROR(VLOOKUP($B87,'[5]Budget Total-FY20 (P&amp;L)'!$B$4:$P$105,4,FALSE),0)</f>
        <v>210</v>
      </c>
      <c r="F87" s="253">
        <f>IFERROR(VLOOKUP($B87,'[5]Budget Total-FY20 (P&amp;L)'!$B$4:$P$105,5,FALSE),0)</f>
        <v>0</v>
      </c>
      <c r="G87" s="253">
        <f>IFERROR(VLOOKUP($B87,'[5]Budget Total-FY20 (P&amp;L)'!$B$4:$P$105,6,FALSE),0)</f>
        <v>0</v>
      </c>
      <c r="H87" s="253">
        <f>IFERROR(VLOOKUP($B87,'[5]Budget Total-FY20 (P&amp;L)'!$B$4:$P$105,7,FALSE),0)</f>
        <v>569</v>
      </c>
      <c r="I87" s="253">
        <f>IFERROR(VLOOKUP($B87,'[5]Budget Total-FY20 (P&amp;L)'!$B$4:$P$105,8,FALSE),0)</f>
        <v>0</v>
      </c>
      <c r="J87" s="253">
        <f>IFERROR(VLOOKUP($B87,'[5]Budget Total-FY20 (P&amp;L)'!$B$4:$P$105,9,FALSE),0)</f>
        <v>0</v>
      </c>
      <c r="K87" s="253">
        <f>IFERROR(VLOOKUP($B87,'[5]Budget Total-FY20 (P&amp;L)'!$B$4:$P$105,10,FALSE),0)</f>
        <v>175</v>
      </c>
      <c r="L87" s="253">
        <f>IFERROR(VLOOKUP($B87,'[5]Budget Total-FY20 (P&amp;L)'!$B$4:$P$105,11,FALSE),0)</f>
        <v>0</v>
      </c>
      <c r="M87" s="253">
        <f>IFERROR(VLOOKUP($B87,'[5]Budget Total-FY20 (P&amp;L)'!$B$4:$P$105,12,FALSE),0)</f>
        <v>0</v>
      </c>
      <c r="N87" s="253">
        <f>IFERROR(VLOOKUP($B87,'[5]Budget Total-FY20 (P&amp;L)'!$B$4:$P$105,13,FALSE),0)</f>
        <v>250</v>
      </c>
      <c r="O87" s="253">
        <f>IFERROR(VLOOKUP($B87,'[5]Budget Total-FY20 (P&amp;L)'!$B$4:$P$105,14,FALSE),0)</f>
        <v>0</v>
      </c>
      <c r="P87" s="306">
        <f t="shared" si="5"/>
        <v>1336</v>
      </c>
      <c r="Q87" s="307"/>
      <c r="R87" s="304"/>
      <c r="S87" s="302">
        <f t="shared" si="6"/>
        <v>1336</v>
      </c>
      <c r="T87" s="307">
        <f>IFERROR(VLOOKUP($B87,'[5]Budget Total-FY20 (P&amp;L)'!$B$4:$U$105,19,FALSE),0)</f>
        <v>1123.79</v>
      </c>
      <c r="U87" s="302">
        <f>IFERROR(VLOOKUP($B87,'[5]Budget Total-FY20 (P&amp;L)'!$B$4:$U$105,20,FALSE),0)</f>
        <v>740</v>
      </c>
      <c r="W87" s="142"/>
    </row>
    <row r="88" spans="2:24" x14ac:dyDescent="0.2">
      <c r="B88" s="265" t="s">
        <v>234</v>
      </c>
      <c r="C88" s="262" t="s">
        <v>35</v>
      </c>
      <c r="D88" s="253">
        <f>IFERROR(VLOOKUP($B88,'[5]Budget Total-FY20 (P&amp;L)'!$B$4:$P$105,3,FALSE),0)</f>
        <v>886.28</v>
      </c>
      <c r="E88" s="253">
        <f>IFERROR(VLOOKUP($B88,'[5]Budget Total-FY20 (P&amp;L)'!$B$4:$P$105,4,FALSE),0)</f>
        <v>886.28</v>
      </c>
      <c r="F88" s="253">
        <f>IFERROR(VLOOKUP($B88,'[5]Budget Total-FY20 (P&amp;L)'!$B$4:$P$105,5,FALSE),0)</f>
        <v>886.28</v>
      </c>
      <c r="G88" s="253">
        <f>IFERROR(VLOOKUP($B88,'[5]Budget Total-FY20 (P&amp;L)'!$B$4:$P$105,6,FALSE),0)</f>
        <v>886.28</v>
      </c>
      <c r="H88" s="253">
        <f>IFERROR(VLOOKUP($B88,'[5]Budget Total-FY20 (P&amp;L)'!$B$4:$P$105,7,FALSE),0)</f>
        <v>886.28</v>
      </c>
      <c r="I88" s="253">
        <f>IFERROR(VLOOKUP($B88,'[5]Budget Total-FY20 (P&amp;L)'!$B$4:$P$105,8,FALSE),0)</f>
        <v>886.28</v>
      </c>
      <c r="J88" s="253">
        <f>IFERROR(VLOOKUP($B88,'[5]Budget Total-FY20 (P&amp;L)'!$B$4:$P$105,9,FALSE),0)</f>
        <v>886.28</v>
      </c>
      <c r="K88" s="253">
        <f>IFERROR(VLOOKUP($B88,'[5]Budget Total-FY20 (P&amp;L)'!$B$4:$P$105,10,FALSE),0)</f>
        <v>886.28</v>
      </c>
      <c r="L88" s="253">
        <f>IFERROR(VLOOKUP($B88,'[5]Budget Total-FY20 (P&amp;L)'!$B$4:$P$105,11,FALSE),0)</f>
        <v>886.28</v>
      </c>
      <c r="M88" s="253">
        <f>IFERROR(VLOOKUP($B88,'[5]Budget Total-FY20 (P&amp;L)'!$B$4:$P$105,12,FALSE),0)</f>
        <v>886.28</v>
      </c>
      <c r="N88" s="253">
        <f>IFERROR(VLOOKUP($B88,'[5]Budget Total-FY20 (P&amp;L)'!$B$4:$P$105,13,FALSE),0)</f>
        <v>886.28</v>
      </c>
      <c r="O88" s="253">
        <f>IFERROR(VLOOKUP($B88,'[5]Budget Total-FY20 (P&amp;L)'!$B$4:$P$105,14,FALSE),0)</f>
        <v>886.28</v>
      </c>
      <c r="P88" s="306">
        <f t="shared" si="5"/>
        <v>10636</v>
      </c>
      <c r="Q88" s="307"/>
      <c r="R88" s="304"/>
      <c r="S88" s="302">
        <f t="shared" si="6"/>
        <v>10636</v>
      </c>
      <c r="T88" s="307">
        <f>IFERROR(VLOOKUP($B88,'[5]Budget Total-FY20 (P&amp;L)'!$B$4:$U$105,19,FALSE),0)</f>
        <v>8862.7999999999993</v>
      </c>
      <c r="U88" s="302">
        <f>IFERROR(VLOOKUP($B88,'[5]Budget Total-FY20 (P&amp;L)'!$B$4:$U$105,20,FALSE),0)</f>
        <v>10636</v>
      </c>
      <c r="W88" s="142"/>
    </row>
    <row r="89" spans="2:24" x14ac:dyDescent="0.2">
      <c r="B89" s="265">
        <v>5373</v>
      </c>
      <c r="C89" s="262" t="s">
        <v>344</v>
      </c>
      <c r="D89" s="253">
        <f>IFERROR(VLOOKUP($B89,'[5]Budget Total-FY20 (P&amp;L)'!$B$4:$P$105,3,FALSE),0)</f>
        <v>666.66666666666663</v>
      </c>
      <c r="E89" s="253">
        <f>IFERROR(VLOOKUP($B89,'[5]Budget Total-FY20 (P&amp;L)'!$B$4:$P$105,4,FALSE),0)</f>
        <v>666.66666666666663</v>
      </c>
      <c r="F89" s="253">
        <f>IFERROR(VLOOKUP($B89,'[5]Budget Total-FY20 (P&amp;L)'!$B$4:$P$105,5,FALSE),0)</f>
        <v>666.66666666666663</v>
      </c>
      <c r="G89" s="253">
        <f>IFERROR(VLOOKUP($B89,'[5]Budget Total-FY20 (P&amp;L)'!$B$4:$P$105,6,FALSE),0)</f>
        <v>666.66666666666663</v>
      </c>
      <c r="H89" s="253">
        <f>IFERROR(VLOOKUP($B89,'[5]Budget Total-FY20 (P&amp;L)'!$B$4:$P$105,7,FALSE),0)</f>
        <v>666.66666666666663</v>
      </c>
      <c r="I89" s="253">
        <f>IFERROR(VLOOKUP($B89,'[5]Budget Total-FY20 (P&amp;L)'!$B$4:$P$105,8,FALSE),0)</f>
        <v>666.66666666666663</v>
      </c>
      <c r="J89" s="253">
        <f>IFERROR(VLOOKUP($B89,'[5]Budget Total-FY20 (P&amp;L)'!$B$4:$P$105,9,FALSE),0)</f>
        <v>666.66666666666663</v>
      </c>
      <c r="K89" s="253">
        <f>IFERROR(VLOOKUP($B89,'[5]Budget Total-FY20 (P&amp;L)'!$B$4:$P$105,10,FALSE),0)</f>
        <v>666.66666666666663</v>
      </c>
      <c r="L89" s="253">
        <f>IFERROR(VLOOKUP($B89,'[5]Budget Total-FY20 (P&amp;L)'!$B$4:$P$105,11,FALSE),0)</f>
        <v>666.66666666666663</v>
      </c>
      <c r="M89" s="253">
        <f>IFERROR(VLOOKUP($B89,'[5]Budget Total-FY20 (P&amp;L)'!$B$4:$P$105,12,FALSE),0)</f>
        <v>666.66666666666663</v>
      </c>
      <c r="N89" s="253">
        <f>IFERROR(VLOOKUP($B89,'[5]Budget Total-FY20 (P&amp;L)'!$B$4:$P$105,13,FALSE),0)</f>
        <v>666.66666666666663</v>
      </c>
      <c r="O89" s="253">
        <f>IFERROR(VLOOKUP($B89,'[5]Budget Total-FY20 (P&amp;L)'!$B$4:$P$105,14,FALSE),0)</f>
        <v>666.66666666666663</v>
      </c>
      <c r="P89" s="306">
        <f t="shared" si="5"/>
        <v>8000</v>
      </c>
      <c r="Q89" s="307"/>
      <c r="R89" s="304"/>
      <c r="S89" s="302">
        <f t="shared" si="6"/>
        <v>8000</v>
      </c>
      <c r="T89" s="307">
        <f>IFERROR(VLOOKUP($B89,'[5]Budget Total-FY20 (P&amp;L)'!$B$4:$U$105,19,FALSE),0)</f>
        <v>11781.18</v>
      </c>
      <c r="U89" s="302">
        <f>IFERROR(VLOOKUP($B89,'[5]Budget Total-FY20 (P&amp;L)'!$B$4:$U$105,20,FALSE),0)</f>
        <v>8000</v>
      </c>
      <c r="W89" s="142"/>
    </row>
    <row r="90" spans="2:24" x14ac:dyDescent="0.2">
      <c r="B90" s="268" t="s">
        <v>345</v>
      </c>
      <c r="C90" s="262" t="s">
        <v>346</v>
      </c>
      <c r="D90" s="253">
        <f>IFERROR(VLOOKUP($B90,'[5]Budget Total-FY20 (P&amp;L)'!$B$4:$P$105,3,FALSE),0)</f>
        <v>0</v>
      </c>
      <c r="E90" s="253">
        <f>IFERROR(VLOOKUP($B90,'[5]Budget Total-FY20 (P&amp;L)'!$B$4:$P$105,4,FALSE),0)</f>
        <v>0</v>
      </c>
      <c r="F90" s="253">
        <f>IFERROR(VLOOKUP($B90,'[5]Budget Total-FY20 (P&amp;L)'!$B$4:$P$105,5,FALSE),0)</f>
        <v>0</v>
      </c>
      <c r="G90" s="253">
        <f>IFERROR(VLOOKUP($B90,'[5]Budget Total-FY20 (P&amp;L)'!$B$4:$P$105,6,FALSE),0)</f>
        <v>0</v>
      </c>
      <c r="H90" s="253">
        <f>IFERROR(VLOOKUP($B90,'[5]Budget Total-FY20 (P&amp;L)'!$B$4:$P$105,7,FALSE),0)</f>
        <v>0</v>
      </c>
      <c r="I90" s="253">
        <f>IFERROR(VLOOKUP($B90,'[5]Budget Total-FY20 (P&amp;L)'!$B$4:$P$105,8,FALSE),0)</f>
        <v>0</v>
      </c>
      <c r="J90" s="253">
        <f>IFERROR(VLOOKUP($B90,'[5]Budget Total-FY20 (P&amp;L)'!$B$4:$P$105,9,FALSE),0)</f>
        <v>0</v>
      </c>
      <c r="K90" s="253">
        <f>IFERROR(VLOOKUP($B90,'[5]Budget Total-FY20 (P&amp;L)'!$B$4:$P$105,10,FALSE),0)</f>
        <v>0</v>
      </c>
      <c r="L90" s="253">
        <f>IFERROR(VLOOKUP($B90,'[5]Budget Total-FY20 (P&amp;L)'!$B$4:$P$105,11,FALSE),0)</f>
        <v>0</v>
      </c>
      <c r="M90" s="253">
        <f>IFERROR(VLOOKUP($B90,'[5]Budget Total-FY20 (P&amp;L)'!$B$4:$P$105,12,FALSE),0)</f>
        <v>10000</v>
      </c>
      <c r="N90" s="253">
        <f>IFERROR(VLOOKUP($B90,'[5]Budget Total-FY20 (P&amp;L)'!$B$4:$P$105,13,FALSE),0)</f>
        <v>0</v>
      </c>
      <c r="O90" s="253">
        <f>IFERROR(VLOOKUP($B90,'[5]Budget Total-FY20 (P&amp;L)'!$B$4:$P$105,14,FALSE),0)</f>
        <v>0</v>
      </c>
      <c r="P90" s="306">
        <f t="shared" si="5"/>
        <v>10000</v>
      </c>
      <c r="Q90" s="307"/>
      <c r="R90" s="304"/>
      <c r="S90" s="302">
        <f t="shared" si="6"/>
        <v>10000</v>
      </c>
      <c r="T90" s="307">
        <f>IFERROR(VLOOKUP($B90,'[5]Budget Total-FY20 (P&amp;L)'!$B$4:$U$105,19,FALSE),0)</f>
        <v>0</v>
      </c>
      <c r="U90" s="302">
        <f>IFERROR(VLOOKUP($B90,'[5]Budget Total-FY20 (P&amp;L)'!$B$4:$U$105,20,FALSE),0)</f>
        <v>0</v>
      </c>
      <c r="W90" s="142"/>
    </row>
    <row r="91" spans="2:24" x14ac:dyDescent="0.2">
      <c r="B91" s="268">
        <v>5208</v>
      </c>
      <c r="C91" s="262" t="s">
        <v>196</v>
      </c>
      <c r="D91" s="253">
        <f>IFERROR(VLOOKUP($B91,'[5]Budget Total-FY20 (P&amp;L)'!$B$4:$P$105,3,FALSE),0)</f>
        <v>700</v>
      </c>
      <c r="E91" s="253">
        <f>IFERROR(VLOOKUP($B91,'[5]Budget Total-FY20 (P&amp;L)'!$B$4:$P$105,4,FALSE),0)</f>
        <v>700</v>
      </c>
      <c r="F91" s="253">
        <f>IFERROR(VLOOKUP($B91,'[5]Budget Total-FY20 (P&amp;L)'!$B$4:$P$105,5,FALSE),0)</f>
        <v>800</v>
      </c>
      <c r="G91" s="253">
        <f>IFERROR(VLOOKUP($B91,'[5]Budget Total-FY20 (P&amp;L)'!$B$4:$P$105,6,FALSE),0)</f>
        <v>900</v>
      </c>
      <c r="H91" s="253">
        <f>IFERROR(VLOOKUP($B91,'[5]Budget Total-FY20 (P&amp;L)'!$B$4:$P$105,7,FALSE),0)</f>
        <v>900</v>
      </c>
      <c r="I91" s="253">
        <f>IFERROR(VLOOKUP($B91,'[5]Budget Total-FY20 (P&amp;L)'!$B$4:$P$105,8,FALSE),0)</f>
        <v>700</v>
      </c>
      <c r="J91" s="253">
        <f>IFERROR(VLOOKUP($B91,'[5]Budget Total-FY20 (P&amp;L)'!$B$4:$P$105,9,FALSE),0)</f>
        <v>800</v>
      </c>
      <c r="K91" s="253">
        <f>IFERROR(VLOOKUP($B91,'[5]Budget Total-FY20 (P&amp;L)'!$B$4:$P$105,10,FALSE),0)</f>
        <v>800</v>
      </c>
      <c r="L91" s="253">
        <f>IFERROR(VLOOKUP($B91,'[5]Budget Total-FY20 (P&amp;L)'!$B$4:$P$105,11,FALSE),0)</f>
        <v>700</v>
      </c>
      <c r="M91" s="253">
        <f>IFERROR(VLOOKUP($B91,'[5]Budget Total-FY20 (P&amp;L)'!$B$4:$P$105,12,FALSE),0)</f>
        <v>900</v>
      </c>
      <c r="N91" s="253">
        <f>IFERROR(VLOOKUP($B91,'[5]Budget Total-FY20 (P&amp;L)'!$B$4:$P$105,13,FALSE),0)</f>
        <v>800</v>
      </c>
      <c r="O91" s="253">
        <f>IFERROR(VLOOKUP($B91,'[5]Budget Total-FY20 (P&amp;L)'!$B$4:$P$105,14,FALSE),0)</f>
        <v>400</v>
      </c>
      <c r="P91" s="306">
        <f t="shared" si="5"/>
        <v>9100</v>
      </c>
      <c r="Q91" s="307"/>
      <c r="R91" s="304"/>
      <c r="S91" s="302">
        <f t="shared" si="6"/>
        <v>9100</v>
      </c>
      <c r="T91" s="307">
        <f>IFERROR(VLOOKUP($B91,'[5]Budget Total-FY20 (P&amp;L)'!$B$4:$U$105,19,FALSE),0)</f>
        <v>7674.11</v>
      </c>
      <c r="U91" s="302">
        <f>IFERROR(VLOOKUP($B91,'[5]Budget Total-FY20 (P&amp;L)'!$B$4:$U$105,20,FALSE),0)</f>
        <v>14380</v>
      </c>
      <c r="W91" s="142"/>
    </row>
    <row r="92" spans="2:24" x14ac:dyDescent="0.2">
      <c r="B92" s="270" t="s">
        <v>347</v>
      </c>
      <c r="C92" s="262" t="s">
        <v>348</v>
      </c>
      <c r="D92" s="253">
        <f>IFERROR(VLOOKUP($B92,'[5]Budget Total-FY20 (P&amp;L)'!$B$4:$P$105,3,FALSE),0)</f>
        <v>129741.91333333333</v>
      </c>
      <c r="E92" s="253">
        <f>IFERROR(VLOOKUP($B92,'[5]Budget Total-FY20 (P&amp;L)'!$B$4:$P$105,4,FALSE),0)</f>
        <v>129741.91333333333</v>
      </c>
      <c r="F92" s="253">
        <f>IFERROR(VLOOKUP($B92,'[5]Budget Total-FY20 (P&amp;L)'!$B$4:$P$105,5,FALSE),0)</f>
        <v>129741.91333333333</v>
      </c>
      <c r="G92" s="253">
        <f>IFERROR(VLOOKUP($B92,'[5]Budget Total-FY20 (P&amp;L)'!$B$4:$P$105,6,FALSE),0)</f>
        <v>129741.91333333333</v>
      </c>
      <c r="H92" s="253">
        <f>IFERROR(VLOOKUP($B92,'[5]Budget Total-FY20 (P&amp;L)'!$B$4:$P$105,7,FALSE),0)</f>
        <v>129741.91333333333</v>
      </c>
      <c r="I92" s="253">
        <f>IFERROR(VLOOKUP($B92,'[5]Budget Total-FY20 (P&amp;L)'!$B$4:$P$105,8,FALSE),0)</f>
        <v>129741.91333333333</v>
      </c>
      <c r="J92" s="253">
        <f>IFERROR(VLOOKUP($B92,'[5]Budget Total-FY20 (P&amp;L)'!$B$4:$P$105,9,FALSE),0)</f>
        <v>129741.91333333333</v>
      </c>
      <c r="K92" s="253">
        <f>IFERROR(VLOOKUP($B92,'[5]Budget Total-FY20 (P&amp;L)'!$B$4:$P$105,10,FALSE),0)</f>
        <v>129741.91333333333</v>
      </c>
      <c r="L92" s="253">
        <f>IFERROR(VLOOKUP($B92,'[5]Budget Total-FY20 (P&amp;L)'!$B$4:$P$105,11,FALSE),0)</f>
        <v>129741.91333333333</v>
      </c>
      <c r="M92" s="253">
        <f>IFERROR(VLOOKUP($B92,'[5]Budget Total-FY20 (P&amp;L)'!$B$4:$P$105,12,FALSE),0)</f>
        <v>129741.91333333333</v>
      </c>
      <c r="N92" s="253">
        <f>IFERROR(VLOOKUP($B92,'[5]Budget Total-FY20 (P&amp;L)'!$B$4:$P$105,13,FALSE),0)</f>
        <v>129741.91333333333</v>
      </c>
      <c r="O92" s="253">
        <f>IFERROR(VLOOKUP($B92,'[5]Budget Total-FY20 (P&amp;L)'!$B$4:$P$105,14,FALSE),0)</f>
        <v>129741.91333333333</v>
      </c>
      <c r="P92" s="306">
        <f t="shared" si="5"/>
        <v>1556903</v>
      </c>
      <c r="Q92" s="307"/>
      <c r="R92" s="304"/>
      <c r="S92" s="302">
        <f t="shared" si="6"/>
        <v>1556903</v>
      </c>
      <c r="T92" s="308">
        <f>IFERROR(VLOOKUP($B92,'[5]Budget Total-FY20 (P&amp;L)'!$B$4:$U$105,19,FALSE),0)</f>
        <v>813420.94000000006</v>
      </c>
      <c r="U92" s="302">
        <f>IFERROR(VLOOKUP($B92,'[5]Budget Total-FY20 (P&amp;L)'!$B$4:$U$105,20,FALSE),0)</f>
        <v>1350079.04</v>
      </c>
      <c r="W92" s="142"/>
    </row>
    <row r="93" spans="2:24" x14ac:dyDescent="0.2">
      <c r="B93" s="268">
        <v>5120</v>
      </c>
      <c r="C93" s="262" t="s">
        <v>197</v>
      </c>
      <c r="D93" s="253">
        <f>IFERROR(VLOOKUP($B93,'[5]Budget Total-FY20 (P&amp;L)'!$B$4:$P$105,3,FALSE),0)</f>
        <v>0</v>
      </c>
      <c r="E93" s="253">
        <f>IFERROR(VLOOKUP($B93,'[5]Budget Total-FY20 (P&amp;L)'!$B$4:$P$105,4,FALSE),0)</f>
        <v>0</v>
      </c>
      <c r="F93" s="253">
        <f>IFERROR(VLOOKUP($B93,'[5]Budget Total-FY20 (P&amp;L)'!$B$4:$P$105,5,FALSE),0)</f>
        <v>0</v>
      </c>
      <c r="G93" s="253">
        <f>IFERROR(VLOOKUP($B93,'[5]Budget Total-FY20 (P&amp;L)'!$B$4:$P$105,6,FALSE),0)</f>
        <v>5000</v>
      </c>
      <c r="H93" s="253">
        <f>IFERROR(VLOOKUP($B93,'[5]Budget Total-FY20 (P&amp;L)'!$B$4:$P$105,7,FALSE),0)</f>
        <v>0</v>
      </c>
      <c r="I93" s="253">
        <f>IFERROR(VLOOKUP($B93,'[5]Budget Total-FY20 (P&amp;L)'!$B$4:$P$105,8,FALSE),0)</f>
        <v>0</v>
      </c>
      <c r="J93" s="253">
        <f>IFERROR(VLOOKUP($B93,'[5]Budget Total-FY20 (P&amp;L)'!$B$4:$P$105,9,FALSE),0)</f>
        <v>5000</v>
      </c>
      <c r="K93" s="253">
        <f>IFERROR(VLOOKUP($B93,'[5]Budget Total-FY20 (P&amp;L)'!$B$4:$P$105,10,FALSE),0)</f>
        <v>0</v>
      </c>
      <c r="L93" s="253">
        <f>IFERROR(VLOOKUP($B93,'[5]Budget Total-FY20 (P&amp;L)'!$B$4:$P$105,11,FALSE),0)</f>
        <v>0</v>
      </c>
      <c r="M93" s="253">
        <f>IFERROR(VLOOKUP($B93,'[5]Budget Total-FY20 (P&amp;L)'!$B$4:$P$105,12,FALSE),0)</f>
        <v>0</v>
      </c>
      <c r="N93" s="253">
        <f>IFERROR(VLOOKUP($B93,'[5]Budget Total-FY20 (P&amp;L)'!$B$4:$P$105,13,FALSE),0)</f>
        <v>0</v>
      </c>
      <c r="O93" s="253">
        <f>IFERROR(VLOOKUP($B93,'[5]Budget Total-FY20 (P&amp;L)'!$B$4:$P$105,14,FALSE),0)</f>
        <v>5000</v>
      </c>
      <c r="P93" s="306">
        <f t="shared" si="5"/>
        <v>15000</v>
      </c>
      <c r="Q93" s="307"/>
      <c r="R93" s="304"/>
      <c r="S93" s="302">
        <f t="shared" si="6"/>
        <v>15000</v>
      </c>
      <c r="T93" s="307">
        <f>IFERROR(VLOOKUP($B93,'[5]Budget Total-FY20 (P&amp;L)'!$B$4:$U$105,19,FALSE),0)</f>
        <v>4225.13</v>
      </c>
      <c r="U93" s="302">
        <f>IFERROR(VLOOKUP($B93,'[5]Budget Total-FY20 (P&amp;L)'!$B$4:$U$105,20,FALSE),0)</f>
        <v>0</v>
      </c>
      <c r="W93" s="142"/>
    </row>
    <row r="94" spans="2:24" x14ac:dyDescent="0.2">
      <c r="B94" s="270" t="s">
        <v>349</v>
      </c>
      <c r="C94" s="262" t="s">
        <v>198</v>
      </c>
      <c r="D94" s="253">
        <f>IFERROR(VLOOKUP($B94,'[5]Budget Total-FY20 (P&amp;L)'!$B$4:$P$105,3,FALSE),0)</f>
        <v>6292.166666666667</v>
      </c>
      <c r="E94" s="253">
        <f>IFERROR(VLOOKUP($B94,'[5]Budget Total-FY20 (P&amp;L)'!$B$4:$P$105,4,FALSE),0)</f>
        <v>7087.89</v>
      </c>
      <c r="F94" s="253">
        <f>IFERROR(VLOOKUP($B94,'[5]Budget Total-FY20 (P&amp;L)'!$B$4:$P$105,5,FALSE),0)</f>
        <v>7087.89</v>
      </c>
      <c r="G94" s="253">
        <f>IFERROR(VLOOKUP($B94,'[5]Budget Total-FY20 (P&amp;L)'!$B$4:$P$105,6,FALSE),0)</f>
        <v>7087.89</v>
      </c>
      <c r="H94" s="253">
        <f>IFERROR(VLOOKUP($B94,'[5]Budget Total-FY20 (P&amp;L)'!$B$4:$P$105,7,FALSE),0)</f>
        <v>7087.89</v>
      </c>
      <c r="I94" s="253">
        <f>IFERROR(VLOOKUP($B94,'[5]Budget Total-FY20 (P&amp;L)'!$B$4:$P$105,8,FALSE),0)</f>
        <v>7087.89</v>
      </c>
      <c r="J94" s="253">
        <f>IFERROR(VLOOKUP($B94,'[5]Budget Total-FY20 (P&amp;L)'!$B$4:$P$105,9,FALSE),0)</f>
        <v>1480.89</v>
      </c>
      <c r="K94" s="253">
        <f>IFERROR(VLOOKUP($B94,'[5]Budget Total-FY20 (P&amp;L)'!$B$4:$P$105,10,FALSE),0)</f>
        <v>1480.89</v>
      </c>
      <c r="L94" s="253">
        <f>IFERROR(VLOOKUP($B94,'[5]Budget Total-FY20 (P&amp;L)'!$B$4:$P$105,11,FALSE),0)</f>
        <v>1480.89</v>
      </c>
      <c r="M94" s="253">
        <f>IFERROR(VLOOKUP($B94,'[5]Budget Total-FY20 (P&amp;L)'!$B$4:$P$105,12,FALSE),0)</f>
        <v>7648.8899999999994</v>
      </c>
      <c r="N94" s="253">
        <f>IFERROR(VLOOKUP($B94,'[5]Budget Total-FY20 (P&amp;L)'!$B$4:$P$105,13,FALSE),0)</f>
        <v>7648.8899999999994</v>
      </c>
      <c r="O94" s="253">
        <f>IFERROR(VLOOKUP($B94,'[5]Budget Total-FY20 (P&amp;L)'!$B$4:$P$105,14,FALSE),0)</f>
        <v>7648.8899999999994</v>
      </c>
      <c r="P94" s="306">
        <f t="shared" si="5"/>
        <v>69121</v>
      </c>
      <c r="Q94" s="307"/>
      <c r="R94" s="304"/>
      <c r="S94" s="302">
        <f t="shared" si="6"/>
        <v>69121</v>
      </c>
      <c r="T94" s="307">
        <f>IFERROR(VLOOKUP($B94,'[5]Budget Total-FY20 (P&amp;L)'!$B$4:$U$105,19,FALSE),0)</f>
        <v>33338</v>
      </c>
      <c r="U94" s="302">
        <f>IFERROR(VLOOKUP($B94,'[5]Budget Total-FY20 (P&amp;L)'!$B$4:$U$105,20,FALSE),0)</f>
        <v>41772</v>
      </c>
      <c r="W94" s="142"/>
    </row>
    <row r="95" spans="2:24" x14ac:dyDescent="0.2">
      <c r="B95" s="270"/>
      <c r="C95" s="260" t="s">
        <v>235</v>
      </c>
      <c r="D95" s="271">
        <f t="shared" ref="D95:O95" si="7">56737.51/12</f>
        <v>4728.1258333333335</v>
      </c>
      <c r="E95" s="271">
        <f t="shared" si="7"/>
        <v>4728.1258333333335</v>
      </c>
      <c r="F95" s="271">
        <f t="shared" si="7"/>
        <v>4728.1258333333335</v>
      </c>
      <c r="G95" s="271">
        <f t="shared" si="7"/>
        <v>4728.1258333333335</v>
      </c>
      <c r="H95" s="271">
        <f t="shared" si="7"/>
        <v>4728.1258333333335</v>
      </c>
      <c r="I95" s="271">
        <f t="shared" si="7"/>
        <v>4728.1258333333335</v>
      </c>
      <c r="J95" s="271">
        <f t="shared" si="7"/>
        <v>4728.1258333333335</v>
      </c>
      <c r="K95" s="271">
        <f t="shared" si="7"/>
        <v>4728.1258333333335</v>
      </c>
      <c r="L95" s="271">
        <f t="shared" si="7"/>
        <v>4728.1258333333335</v>
      </c>
      <c r="M95" s="271">
        <f t="shared" si="7"/>
        <v>4728.1258333333335</v>
      </c>
      <c r="N95" s="271">
        <f t="shared" si="7"/>
        <v>4728.1258333333335</v>
      </c>
      <c r="O95" s="271">
        <f t="shared" si="7"/>
        <v>4728.1258333333335</v>
      </c>
      <c r="P95" s="306">
        <f t="shared" si="5"/>
        <v>56738</v>
      </c>
      <c r="Q95" s="307"/>
      <c r="R95" s="304"/>
      <c r="S95" s="302">
        <f t="shared" si="6"/>
        <v>56738</v>
      </c>
      <c r="T95" s="307">
        <v>40560</v>
      </c>
      <c r="U95" s="302">
        <v>54297.52</v>
      </c>
      <c r="W95" s="142"/>
      <c r="X95" s="147"/>
    </row>
    <row r="96" spans="2:24" x14ac:dyDescent="0.2">
      <c r="B96" s="270"/>
      <c r="C96" s="260" t="s">
        <v>236</v>
      </c>
      <c r="D96" s="271">
        <f t="shared" ref="D96:O96" si="8">105000/12</f>
        <v>8750</v>
      </c>
      <c r="E96" s="271">
        <f t="shared" si="8"/>
        <v>8750</v>
      </c>
      <c r="F96" s="271">
        <f t="shared" si="8"/>
        <v>8750</v>
      </c>
      <c r="G96" s="271">
        <f t="shared" si="8"/>
        <v>8750</v>
      </c>
      <c r="H96" s="271">
        <f t="shared" si="8"/>
        <v>8750</v>
      </c>
      <c r="I96" s="271">
        <f t="shared" si="8"/>
        <v>8750</v>
      </c>
      <c r="J96" s="271">
        <f t="shared" si="8"/>
        <v>8750</v>
      </c>
      <c r="K96" s="271">
        <f t="shared" si="8"/>
        <v>8750</v>
      </c>
      <c r="L96" s="271">
        <f t="shared" si="8"/>
        <v>8750</v>
      </c>
      <c r="M96" s="271">
        <f t="shared" si="8"/>
        <v>8750</v>
      </c>
      <c r="N96" s="271">
        <f t="shared" si="8"/>
        <v>8750</v>
      </c>
      <c r="O96" s="271">
        <f t="shared" si="8"/>
        <v>8750</v>
      </c>
      <c r="P96" s="306">
        <f>(ROUNDUP(SUM(D96:O96),0))</f>
        <v>105000</v>
      </c>
      <c r="Q96" s="307">
        <f>IFERROR(VLOOKUP($B96,'[5]Budget Total-FY20 (P&amp;L)'!$B$4:$P$105,15,FALSE),0)</f>
        <v>0</v>
      </c>
      <c r="R96" s="304"/>
      <c r="S96" s="302">
        <f t="shared" si="6"/>
        <v>105000</v>
      </c>
      <c r="T96" s="307">
        <v>63650</v>
      </c>
      <c r="U96" s="302">
        <f>IFERROR(VLOOKUP($B96,'[5]Budget Total-FY20 (P&amp;L)'!$B$4:$U$105,20,FALSE),0)+90000</f>
        <v>90000</v>
      </c>
      <c r="W96" s="142"/>
    </row>
    <row r="97" spans="2:23" x14ac:dyDescent="0.2">
      <c r="B97" s="262"/>
      <c r="C97" s="260" t="s">
        <v>237</v>
      </c>
      <c r="D97" s="271">
        <f t="shared" ref="D97:O97" si="9">SUM(475000*1.15)/12</f>
        <v>45520.833333333336</v>
      </c>
      <c r="E97" s="271">
        <f t="shared" si="9"/>
        <v>45520.833333333336</v>
      </c>
      <c r="F97" s="271">
        <f t="shared" si="9"/>
        <v>45520.833333333336</v>
      </c>
      <c r="G97" s="271">
        <f t="shared" si="9"/>
        <v>45520.833333333336</v>
      </c>
      <c r="H97" s="271">
        <f t="shared" si="9"/>
        <v>45520.833333333336</v>
      </c>
      <c r="I97" s="271">
        <f t="shared" si="9"/>
        <v>45520.833333333336</v>
      </c>
      <c r="J97" s="271">
        <f t="shared" si="9"/>
        <v>45520.833333333336</v>
      </c>
      <c r="K97" s="271">
        <f t="shared" si="9"/>
        <v>45520.833333333336</v>
      </c>
      <c r="L97" s="271">
        <f t="shared" si="9"/>
        <v>45520.833333333336</v>
      </c>
      <c r="M97" s="271">
        <f t="shared" si="9"/>
        <v>45520.833333333336</v>
      </c>
      <c r="N97" s="271">
        <f t="shared" si="9"/>
        <v>45520.833333333336</v>
      </c>
      <c r="O97" s="271">
        <f t="shared" si="9"/>
        <v>45520.833333333336</v>
      </c>
      <c r="P97" s="306">
        <f>(ROUNDUP(SUM(D97:O97),0))</f>
        <v>546250</v>
      </c>
      <c r="Q97" s="303"/>
      <c r="R97" s="304"/>
      <c r="S97" s="302">
        <f t="shared" si="6"/>
        <v>546250</v>
      </c>
      <c r="T97" s="305">
        <v>414639</v>
      </c>
      <c r="U97" s="302">
        <v>475000</v>
      </c>
      <c r="W97" s="142"/>
    </row>
    <row r="98" spans="2:23" x14ac:dyDescent="0.2">
      <c r="B98" s="262"/>
      <c r="C98" s="260" t="s">
        <v>357</v>
      </c>
      <c r="D98" s="271"/>
      <c r="E98" s="271"/>
      <c r="F98" s="271"/>
      <c r="G98" s="271"/>
      <c r="H98" s="271"/>
      <c r="I98" s="271"/>
      <c r="J98" s="271"/>
      <c r="K98" s="271"/>
      <c r="L98" s="271"/>
      <c r="M98" s="271"/>
      <c r="N98" s="271"/>
      <c r="O98" s="271"/>
      <c r="P98" s="303"/>
      <c r="Q98" s="303"/>
      <c r="R98" s="304"/>
      <c r="S98" s="302"/>
      <c r="T98" s="303"/>
      <c r="U98" s="302"/>
      <c r="W98" s="142"/>
    </row>
    <row r="99" spans="2:23" x14ac:dyDescent="0.2">
      <c r="B99" s="262"/>
      <c r="C99" s="260" t="s">
        <v>358</v>
      </c>
      <c r="D99" s="271"/>
      <c r="E99" s="271"/>
      <c r="F99" s="271"/>
      <c r="G99" s="271"/>
      <c r="H99" s="271"/>
      <c r="I99" s="271"/>
      <c r="J99" s="271"/>
      <c r="K99" s="271"/>
      <c r="L99" s="271"/>
      <c r="M99" s="271"/>
      <c r="N99" s="271"/>
      <c r="O99" s="271"/>
      <c r="P99" s="303"/>
      <c r="Q99" s="303"/>
      <c r="R99" s="304"/>
      <c r="S99" s="302"/>
      <c r="T99" s="303"/>
      <c r="U99" s="302"/>
      <c r="W99" s="142"/>
    </row>
    <row r="100" spans="2:23" x14ac:dyDescent="0.2">
      <c r="B100" s="262"/>
      <c r="C100" s="260"/>
      <c r="D100" s="271"/>
      <c r="E100" s="271"/>
      <c r="F100" s="271"/>
      <c r="G100" s="271"/>
      <c r="H100" s="271"/>
      <c r="I100" s="271"/>
      <c r="J100" s="271"/>
      <c r="K100" s="271"/>
      <c r="L100" s="271"/>
      <c r="M100" s="271"/>
      <c r="N100" s="271"/>
      <c r="O100" s="271"/>
      <c r="P100" s="303"/>
      <c r="Q100" s="303"/>
      <c r="R100" s="304"/>
      <c r="S100" s="302"/>
      <c r="T100" s="303"/>
      <c r="U100" s="302"/>
      <c r="W100" s="142"/>
    </row>
    <row r="101" spans="2:23" x14ac:dyDescent="0.2">
      <c r="B101" s="262"/>
      <c r="C101" s="260"/>
      <c r="D101" s="271"/>
      <c r="E101" s="271"/>
      <c r="F101" s="271"/>
      <c r="G101" s="271"/>
      <c r="H101" s="271"/>
      <c r="I101" s="271"/>
      <c r="J101" s="271"/>
      <c r="K101" s="271"/>
      <c r="L101" s="271"/>
      <c r="M101" s="271"/>
      <c r="N101" s="271"/>
      <c r="O101" s="271"/>
      <c r="P101" s="303"/>
      <c r="Q101" s="303"/>
      <c r="R101" s="304"/>
      <c r="S101" s="302"/>
      <c r="T101" s="303"/>
      <c r="U101" s="302"/>
      <c r="W101" s="142"/>
    </row>
    <row r="102" spans="2:23" x14ac:dyDescent="0.2">
      <c r="B102" s="262"/>
      <c r="C102" s="260"/>
      <c r="D102" s="271"/>
      <c r="E102" s="271"/>
      <c r="F102" s="271"/>
      <c r="G102" s="271"/>
      <c r="H102" s="271"/>
      <c r="I102" s="271"/>
      <c r="J102" s="271"/>
      <c r="K102" s="271"/>
      <c r="L102" s="271"/>
      <c r="M102" s="271"/>
      <c r="N102" s="271"/>
      <c r="O102" s="271"/>
      <c r="P102" s="303"/>
      <c r="Q102" s="303"/>
      <c r="R102" s="304"/>
      <c r="S102" s="302"/>
      <c r="T102" s="303"/>
      <c r="U102" s="302"/>
      <c r="W102" s="142"/>
    </row>
    <row r="103" spans="2:23" x14ac:dyDescent="0.2">
      <c r="B103" s="262"/>
      <c r="C103" s="262"/>
      <c r="D103" s="260"/>
      <c r="E103" s="260"/>
      <c r="F103" s="260"/>
      <c r="G103" s="260"/>
      <c r="H103" s="260"/>
      <c r="I103" s="260"/>
      <c r="J103" s="260"/>
      <c r="K103" s="260"/>
      <c r="L103" s="260"/>
      <c r="M103" s="260"/>
      <c r="N103" s="260"/>
      <c r="O103" s="260"/>
      <c r="P103" s="303"/>
      <c r="Q103" s="303"/>
      <c r="R103" s="304"/>
      <c r="S103" s="302">
        <f>+P103+R103</f>
        <v>0</v>
      </c>
      <c r="T103" s="303"/>
      <c r="U103" s="302"/>
      <c r="W103" s="142"/>
    </row>
    <row r="104" spans="2:23" ht="12" x14ac:dyDescent="0.25">
      <c r="B104" s="272" t="s">
        <v>22</v>
      </c>
      <c r="C104" s="272"/>
      <c r="D104" s="273">
        <f t="shared" ref="D104:R104" si="10">SUM(D32:D103)</f>
        <v>291900.5479166666</v>
      </c>
      <c r="E104" s="273">
        <f t="shared" si="10"/>
        <v>268820.84125</v>
      </c>
      <c r="F104" s="273">
        <f t="shared" si="10"/>
        <v>316924.59458333335</v>
      </c>
      <c r="G104" s="273">
        <f t="shared" si="10"/>
        <v>273524.41125</v>
      </c>
      <c r="H104" s="273">
        <f t="shared" si="10"/>
        <v>280417.74125000002</v>
      </c>
      <c r="I104" s="273">
        <f t="shared" si="10"/>
        <v>305683.97125</v>
      </c>
      <c r="J104" s="273">
        <f t="shared" si="10"/>
        <v>273087.62458333332</v>
      </c>
      <c r="K104" s="273">
        <f t="shared" si="10"/>
        <v>270876.11125000002</v>
      </c>
      <c r="L104" s="273">
        <f t="shared" si="10"/>
        <v>293818.71625</v>
      </c>
      <c r="M104" s="273">
        <f t="shared" si="10"/>
        <v>278963.85125000001</v>
      </c>
      <c r="N104" s="273">
        <f t="shared" si="10"/>
        <v>280414.23458333331</v>
      </c>
      <c r="O104" s="273">
        <f t="shared" si="10"/>
        <v>316491.8354166667</v>
      </c>
      <c r="P104" s="301">
        <f t="shared" si="10"/>
        <v>3450930</v>
      </c>
      <c r="Q104" s="301">
        <f t="shared" si="10"/>
        <v>0</v>
      </c>
      <c r="R104" s="300">
        <f t="shared" si="10"/>
        <v>0</v>
      </c>
      <c r="S104" s="300">
        <f>+P104+R104</f>
        <v>3450930</v>
      </c>
      <c r="T104" s="300">
        <f>SUM(T32:T103)</f>
        <v>2092573.0699999998</v>
      </c>
      <c r="U104" s="300">
        <f>SUM(U32:U103)</f>
        <v>3070424.52</v>
      </c>
      <c r="W104" s="142"/>
    </row>
    <row r="105" spans="2:23" x14ac:dyDescent="0.2">
      <c r="C105" s="144"/>
      <c r="D105" s="147"/>
      <c r="E105" s="147"/>
      <c r="F105" s="147"/>
      <c r="G105" s="147"/>
      <c r="H105" s="147"/>
      <c r="I105" s="147"/>
      <c r="J105" s="147"/>
      <c r="K105" s="147"/>
      <c r="L105" s="147"/>
      <c r="M105" s="147"/>
      <c r="N105" s="147"/>
      <c r="O105" s="147"/>
      <c r="P105" s="141"/>
      <c r="Q105" s="141"/>
      <c r="R105" s="141"/>
      <c r="S105" s="141"/>
      <c r="T105" s="141"/>
      <c r="U105" s="141"/>
    </row>
    <row r="106" spans="2:23" x14ac:dyDescent="0.2">
      <c r="P106" s="141"/>
      <c r="Q106" s="141"/>
      <c r="R106" s="141"/>
      <c r="S106" s="141"/>
      <c r="T106" s="141"/>
      <c r="U106" s="141"/>
    </row>
    <row r="107" spans="2:23" ht="12.6" thickBot="1" x14ac:dyDescent="0.3">
      <c r="B107" s="274" t="s">
        <v>351</v>
      </c>
      <c r="C107" s="274"/>
      <c r="D107" s="275">
        <f t="shared" ref="D107:U107" si="11">D30-D104</f>
        <v>229821.4520833334</v>
      </c>
      <c r="E107" s="275">
        <f t="shared" si="11"/>
        <v>-69598.841249999998</v>
      </c>
      <c r="F107" s="275">
        <f t="shared" si="11"/>
        <v>-36702.594583333354</v>
      </c>
      <c r="G107" s="275">
        <f t="shared" si="11"/>
        <v>-54632.411250000005</v>
      </c>
      <c r="H107" s="275">
        <f t="shared" si="11"/>
        <v>-62855.741250000021</v>
      </c>
      <c r="I107" s="275">
        <f t="shared" si="11"/>
        <v>109599.02875</v>
      </c>
      <c r="J107" s="275">
        <f t="shared" si="11"/>
        <v>-14754.624583333323</v>
      </c>
      <c r="K107" s="275">
        <f t="shared" si="11"/>
        <v>-58143.111250000016</v>
      </c>
      <c r="L107" s="275">
        <f t="shared" si="11"/>
        <v>-46085.716249999998</v>
      </c>
      <c r="M107" s="275">
        <f t="shared" si="11"/>
        <v>-61730.851250000007</v>
      </c>
      <c r="N107" s="275">
        <f t="shared" si="11"/>
        <v>-80681.234583333309</v>
      </c>
      <c r="O107" s="275">
        <f t="shared" si="11"/>
        <v>60741.164583333302</v>
      </c>
      <c r="P107" s="299">
        <f t="shared" si="11"/>
        <v>-85033</v>
      </c>
      <c r="Q107" s="299">
        <f t="shared" si="11"/>
        <v>0</v>
      </c>
      <c r="R107" s="299">
        <f t="shared" si="11"/>
        <v>0</v>
      </c>
      <c r="S107" s="299">
        <f t="shared" si="11"/>
        <v>-85033</v>
      </c>
      <c r="T107" s="299" t="e">
        <f t="shared" si="11"/>
        <v>#REF!</v>
      </c>
      <c r="U107" s="299">
        <f t="shared" si="11"/>
        <v>-46434.520000000019</v>
      </c>
    </row>
    <row r="108" spans="2:23" ht="12" thickTop="1" x14ac:dyDescent="0.2"/>
    <row r="112" spans="2:23" ht="12" x14ac:dyDescent="0.25">
      <c r="B112" s="146"/>
    </row>
    <row r="113" spans="15:15" x14ac:dyDescent="0.2">
      <c r="O113" s="147"/>
    </row>
  </sheetData>
  <conditionalFormatting sqref="D4:O20 T32:T96 Q32:Q96 D32:O94">
    <cfRule type="cellIs" dxfId="0" priority="1" operator="equal">
      <formula>0</formula>
    </cfRule>
  </conditionalFormatting>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76"/>
  <sheetViews>
    <sheetView topLeftCell="B122" workbookViewId="0">
      <selection activeCell="O154" sqref="O154"/>
    </sheetView>
  </sheetViews>
  <sheetFormatPr defaultColWidth="8.6640625" defaultRowHeight="11.4" x14ac:dyDescent="0.2"/>
  <cols>
    <col min="1" max="1" width="34.33203125" style="89" hidden="1" customWidth="1"/>
    <col min="2" max="2" width="38.33203125" style="89" bestFit="1" customWidth="1"/>
    <col min="3" max="14" width="12.33203125" style="89" hidden="1" customWidth="1"/>
    <col min="15" max="15" width="14.44140625" style="89" bestFit="1" customWidth="1"/>
    <col min="16" max="16" width="11.33203125" style="89" bestFit="1" customWidth="1"/>
    <col min="17" max="17" width="13.33203125" style="90" hidden="1" customWidth="1"/>
    <col min="18" max="18" width="10.44140625" style="89" hidden="1" customWidth="1"/>
    <col min="19" max="19" width="12.33203125" style="89" bestFit="1" customWidth="1"/>
    <col min="20" max="22" width="8.6640625" style="89"/>
    <col min="23" max="23" width="13.33203125" style="89" bestFit="1" customWidth="1"/>
    <col min="24" max="16384" width="8.6640625" style="89"/>
  </cols>
  <sheetData>
    <row r="1" spans="1:18" ht="13.2" x14ac:dyDescent="0.25">
      <c r="B1" s="567" t="s">
        <v>201</v>
      </c>
      <c r="C1" s="567"/>
      <c r="D1" s="567"/>
      <c r="E1" s="567"/>
      <c r="F1" s="567"/>
      <c r="G1" s="567"/>
      <c r="H1" s="567"/>
      <c r="I1" s="567"/>
      <c r="J1" s="567"/>
      <c r="K1" s="567"/>
      <c r="L1" s="567"/>
      <c r="M1" s="567"/>
      <c r="N1" s="567"/>
      <c r="O1" s="567"/>
      <c r="P1" s="567"/>
      <c r="Q1" s="567"/>
      <c r="R1" s="567"/>
    </row>
    <row r="2" spans="1:18" hidden="1" x14ac:dyDescent="0.2"/>
    <row r="3" spans="1:18" hidden="1" x14ac:dyDescent="0.2">
      <c r="C3" s="91" t="e">
        <v>#REF!</v>
      </c>
      <c r="D3" s="91" t="e">
        <v>#REF!</v>
      </c>
      <c r="E3" s="91" t="e">
        <v>#REF!</v>
      </c>
      <c r="F3" s="91" t="e">
        <v>#REF!</v>
      </c>
      <c r="G3" s="91" t="e">
        <v>#REF!</v>
      </c>
      <c r="H3" s="91" t="e">
        <v>#REF!</v>
      </c>
      <c r="I3" s="91" t="e">
        <v>#REF!</v>
      </c>
      <c r="J3" s="91" t="e">
        <v>#REF!</v>
      </c>
      <c r="K3" s="91" t="e">
        <v>#REF!</v>
      </c>
      <c r="L3" s="91" t="e">
        <v>#REF!</v>
      </c>
      <c r="M3" s="91" t="e">
        <v>#REF!</v>
      </c>
      <c r="N3" s="91" t="e">
        <v>#REF!</v>
      </c>
      <c r="O3" s="91" t="e">
        <f>ROUNDUP(SUM(C3:N3),0)</f>
        <v>#REF!</v>
      </c>
    </row>
    <row r="4" spans="1:18" x14ac:dyDescent="0.2">
      <c r="C4" s="92" t="s">
        <v>45</v>
      </c>
      <c r="D4" s="92" t="s">
        <v>46</v>
      </c>
      <c r="E4" s="92" t="s">
        <v>47</v>
      </c>
      <c r="F4" s="92" t="s">
        <v>48</v>
      </c>
      <c r="G4" s="92" t="s">
        <v>49</v>
      </c>
      <c r="H4" s="92" t="s">
        <v>50</v>
      </c>
      <c r="I4" s="92" t="s">
        <v>51</v>
      </c>
      <c r="J4" s="92" t="s">
        <v>52</v>
      </c>
      <c r="K4" s="92" t="s">
        <v>53</v>
      </c>
      <c r="L4" s="92" t="s">
        <v>54</v>
      </c>
      <c r="M4" s="92" t="s">
        <v>55</v>
      </c>
      <c r="N4" s="92" t="s">
        <v>56</v>
      </c>
    </row>
    <row r="5" spans="1:18" x14ac:dyDescent="0.2">
      <c r="A5" s="93" t="s">
        <v>202</v>
      </c>
      <c r="B5" s="93"/>
      <c r="C5" s="91"/>
      <c r="D5" s="91"/>
      <c r="E5" s="91"/>
      <c r="F5" s="91"/>
      <c r="G5" s="91"/>
      <c r="H5" s="91"/>
      <c r="I5" s="91"/>
      <c r="J5" s="91"/>
      <c r="K5" s="91"/>
      <c r="L5" s="91"/>
      <c r="M5" s="91"/>
      <c r="N5" s="91"/>
      <c r="O5" s="92" t="s">
        <v>7</v>
      </c>
      <c r="Q5" s="90" t="s">
        <v>203</v>
      </c>
      <c r="R5" s="89" t="s">
        <v>204</v>
      </c>
    </row>
    <row r="6" spans="1:18" x14ac:dyDescent="0.2">
      <c r="A6" s="93"/>
      <c r="B6" s="94" t="s">
        <v>67</v>
      </c>
      <c r="C6" s="95">
        <v>15000</v>
      </c>
      <c r="D6" s="95">
        <v>15000</v>
      </c>
      <c r="E6" s="95">
        <v>13500</v>
      </c>
      <c r="F6" s="95">
        <v>8000</v>
      </c>
      <c r="G6" s="95">
        <v>25000</v>
      </c>
      <c r="H6" s="95">
        <v>61500</v>
      </c>
      <c r="I6" s="95">
        <v>30000</v>
      </c>
      <c r="J6" s="95">
        <v>6500</v>
      </c>
      <c r="K6" s="95">
        <v>8000</v>
      </c>
      <c r="L6" s="95">
        <v>6500</v>
      </c>
      <c r="M6" s="95">
        <v>8500</v>
      </c>
      <c r="N6" s="95">
        <v>8500</v>
      </c>
      <c r="O6" s="95">
        <f>SUM(C6:N6)</f>
        <v>206000</v>
      </c>
      <c r="P6" s="121"/>
      <c r="Q6" s="90">
        <v>160000</v>
      </c>
      <c r="R6" s="96">
        <f>(O6-Q6)/Q6</f>
        <v>0.28749999999999998</v>
      </c>
    </row>
    <row r="7" spans="1:18" x14ac:dyDescent="0.2">
      <c r="A7" s="93"/>
      <c r="B7" s="94" t="s">
        <v>68</v>
      </c>
      <c r="C7" s="95">
        <v>20000</v>
      </c>
      <c r="D7" s="95">
        <v>25000</v>
      </c>
      <c r="E7" s="95">
        <v>12500</v>
      </c>
      <c r="F7" s="95">
        <v>6000</v>
      </c>
      <c r="G7" s="95">
        <v>31000</v>
      </c>
      <c r="H7" s="95">
        <v>75500</v>
      </c>
      <c r="I7" s="95">
        <v>25000</v>
      </c>
      <c r="J7" s="95">
        <v>20000</v>
      </c>
      <c r="K7" s="95">
        <v>10000</v>
      </c>
      <c r="L7" s="95">
        <v>12500</v>
      </c>
      <c r="M7" s="95">
        <v>10000</v>
      </c>
      <c r="N7" s="95">
        <v>5000</v>
      </c>
      <c r="O7" s="97">
        <f>SUM(C7:N7)-40000</f>
        <v>212500</v>
      </c>
      <c r="P7" s="121"/>
      <c r="Q7" s="90">
        <v>233000</v>
      </c>
      <c r="R7" s="96">
        <f t="shared" ref="R7:R70" si="0">(O7-Q7)/Q7</f>
        <v>-8.7982832618025753E-2</v>
      </c>
    </row>
    <row r="8" spans="1:18" hidden="1" x14ac:dyDescent="0.2">
      <c r="A8" s="93"/>
      <c r="B8" s="94" t="s">
        <v>69</v>
      </c>
      <c r="C8" s="95"/>
      <c r="D8" s="95"/>
      <c r="E8" s="95"/>
      <c r="F8" s="95"/>
      <c r="G8" s="95"/>
      <c r="H8" s="95"/>
      <c r="I8" s="95"/>
      <c r="J8" s="95"/>
      <c r="K8" s="95"/>
      <c r="L8" s="95"/>
      <c r="M8" s="95"/>
      <c r="N8" s="95"/>
      <c r="O8" s="95">
        <f t="shared" ref="O8:O63" si="1">SUM(C8:N8)</f>
        <v>0</v>
      </c>
      <c r="P8" s="121"/>
      <c r="R8" s="96" t="e">
        <f t="shared" si="0"/>
        <v>#DIV/0!</v>
      </c>
    </row>
    <row r="9" spans="1:18" hidden="1" x14ac:dyDescent="0.2">
      <c r="A9" s="93"/>
      <c r="B9" s="94" t="s">
        <v>70</v>
      </c>
      <c r="C9" s="95"/>
      <c r="D9" s="95"/>
      <c r="E9" s="95"/>
      <c r="F9" s="95"/>
      <c r="G9" s="95"/>
      <c r="H9" s="95"/>
      <c r="I9" s="95"/>
      <c r="J9" s="95"/>
      <c r="K9" s="95"/>
      <c r="L9" s="95"/>
      <c r="M9" s="95"/>
      <c r="N9" s="95"/>
      <c r="O9" s="95">
        <f t="shared" si="1"/>
        <v>0</v>
      </c>
      <c r="P9" s="121"/>
      <c r="R9" s="96" t="e">
        <f t="shared" si="0"/>
        <v>#DIV/0!</v>
      </c>
    </row>
    <row r="10" spans="1:18" x14ac:dyDescent="0.2">
      <c r="A10" s="93"/>
      <c r="B10" s="94" t="s">
        <v>71</v>
      </c>
      <c r="C10" s="95">
        <v>250</v>
      </c>
      <c r="D10" s="95">
        <v>250</v>
      </c>
      <c r="E10" s="95">
        <v>250</v>
      </c>
      <c r="F10" s="95">
        <v>250</v>
      </c>
      <c r="G10" s="95">
        <v>250</v>
      </c>
      <c r="H10" s="95">
        <v>250</v>
      </c>
      <c r="I10" s="95">
        <v>250</v>
      </c>
      <c r="J10" s="95">
        <v>250</v>
      </c>
      <c r="K10" s="95">
        <v>250</v>
      </c>
      <c r="L10" s="95">
        <v>250</v>
      </c>
      <c r="M10" s="95">
        <v>250</v>
      </c>
      <c r="N10" s="95">
        <v>38250</v>
      </c>
      <c r="O10" s="95">
        <f t="shared" si="1"/>
        <v>41000</v>
      </c>
      <c r="P10" s="121"/>
      <c r="Q10" s="90">
        <v>31000</v>
      </c>
      <c r="R10" s="96">
        <f t="shared" si="0"/>
        <v>0.32258064516129031</v>
      </c>
    </row>
    <row r="11" spans="1:18" hidden="1" x14ac:dyDescent="0.2">
      <c r="A11" s="93"/>
      <c r="B11" s="94" t="s">
        <v>72</v>
      </c>
      <c r="C11" s="95"/>
      <c r="D11" s="95"/>
      <c r="E11" s="95"/>
      <c r="F11" s="95"/>
      <c r="G11" s="95"/>
      <c r="H11" s="95"/>
      <c r="I11" s="95"/>
      <c r="J11" s="95"/>
      <c r="K11" s="95"/>
      <c r="L11" s="95"/>
      <c r="M11" s="95"/>
      <c r="N11" s="95"/>
      <c r="O11" s="95">
        <f t="shared" si="1"/>
        <v>0</v>
      </c>
      <c r="P11" s="121"/>
      <c r="R11" s="96" t="e">
        <f t="shared" si="0"/>
        <v>#DIV/0!</v>
      </c>
    </row>
    <row r="12" spans="1:18" ht="18" customHeight="1" x14ac:dyDescent="0.2">
      <c r="A12" s="93"/>
      <c r="B12" s="94" t="s">
        <v>73</v>
      </c>
      <c r="C12" s="95">
        <v>1000</v>
      </c>
      <c r="D12" s="95">
        <v>1000</v>
      </c>
      <c r="E12" s="95">
        <v>1000</v>
      </c>
      <c r="F12" s="95">
        <v>1000</v>
      </c>
      <c r="G12" s="95">
        <v>1000</v>
      </c>
      <c r="H12" s="95">
        <v>1000</v>
      </c>
      <c r="I12" s="95">
        <v>1000</v>
      </c>
      <c r="J12" s="95">
        <v>1000</v>
      </c>
      <c r="K12" s="95">
        <v>1000</v>
      </c>
      <c r="L12" s="95">
        <v>1000</v>
      </c>
      <c r="M12" s="95">
        <v>1000</v>
      </c>
      <c r="N12" s="95">
        <v>1000</v>
      </c>
      <c r="O12" s="95">
        <f t="shared" si="1"/>
        <v>12000</v>
      </c>
      <c r="P12" s="121"/>
      <c r="Q12" s="90">
        <v>25000</v>
      </c>
      <c r="R12" s="96">
        <f t="shared" si="0"/>
        <v>-0.52</v>
      </c>
    </row>
    <row r="13" spans="1:18" hidden="1" x14ac:dyDescent="0.2">
      <c r="A13" s="93"/>
      <c r="B13" s="94" t="s">
        <v>74</v>
      </c>
      <c r="C13" s="95">
        <v>0</v>
      </c>
      <c r="D13" s="95">
        <v>0</v>
      </c>
      <c r="E13" s="95">
        <v>0</v>
      </c>
      <c r="F13" s="95">
        <v>0</v>
      </c>
      <c r="G13" s="95">
        <v>0</v>
      </c>
      <c r="H13" s="95">
        <v>0</v>
      </c>
      <c r="I13" s="95">
        <v>0</v>
      </c>
      <c r="J13" s="95">
        <v>0</v>
      </c>
      <c r="K13" s="95">
        <v>0</v>
      </c>
      <c r="L13" s="95">
        <v>0</v>
      </c>
      <c r="M13" s="95">
        <v>0</v>
      </c>
      <c r="N13" s="95">
        <v>0</v>
      </c>
      <c r="O13" s="95">
        <f t="shared" si="1"/>
        <v>0</v>
      </c>
      <c r="R13" s="96" t="e">
        <f t="shared" si="0"/>
        <v>#DIV/0!</v>
      </c>
    </row>
    <row r="14" spans="1:18" hidden="1" x14ac:dyDescent="0.2">
      <c r="A14" s="93"/>
      <c r="B14" s="94" t="s">
        <v>75</v>
      </c>
      <c r="C14" s="95"/>
      <c r="D14" s="95"/>
      <c r="E14" s="95"/>
      <c r="F14" s="95"/>
      <c r="G14" s="95"/>
      <c r="H14" s="95"/>
      <c r="I14" s="95"/>
      <c r="J14" s="95"/>
      <c r="K14" s="95"/>
      <c r="L14" s="95"/>
      <c r="M14" s="95"/>
      <c r="N14" s="95"/>
      <c r="O14" s="95">
        <f t="shared" si="1"/>
        <v>0</v>
      </c>
      <c r="R14" s="96" t="e">
        <f t="shared" si="0"/>
        <v>#DIV/0!</v>
      </c>
    </row>
    <row r="15" spans="1:18" hidden="1" x14ac:dyDescent="0.2">
      <c r="A15" s="93"/>
      <c r="B15" s="94" t="s">
        <v>76</v>
      </c>
      <c r="C15" s="95"/>
      <c r="D15" s="95"/>
      <c r="E15" s="95"/>
      <c r="F15" s="95"/>
      <c r="G15" s="95"/>
      <c r="H15" s="95"/>
      <c r="I15" s="95"/>
      <c r="J15" s="95"/>
      <c r="K15" s="95"/>
      <c r="L15" s="95"/>
      <c r="M15" s="95"/>
      <c r="N15" s="95"/>
      <c r="O15" s="95">
        <f t="shared" si="1"/>
        <v>0</v>
      </c>
      <c r="R15" s="96" t="e">
        <f t="shared" si="0"/>
        <v>#DIV/0!</v>
      </c>
    </row>
    <row r="16" spans="1:18" hidden="1" x14ac:dyDescent="0.2">
      <c r="A16" s="93"/>
      <c r="B16" s="94" t="s">
        <v>77</v>
      </c>
      <c r="C16" s="95"/>
      <c r="D16" s="95"/>
      <c r="E16" s="95"/>
      <c r="F16" s="95"/>
      <c r="G16" s="95"/>
      <c r="H16" s="95"/>
      <c r="I16" s="95"/>
      <c r="J16" s="95"/>
      <c r="K16" s="95"/>
      <c r="L16" s="95"/>
      <c r="M16" s="95"/>
      <c r="N16" s="95"/>
      <c r="O16" s="95">
        <f t="shared" si="1"/>
        <v>0</v>
      </c>
      <c r="R16" s="96" t="e">
        <f t="shared" si="0"/>
        <v>#DIV/0!</v>
      </c>
    </row>
    <row r="17" spans="1:18" hidden="1" x14ac:dyDescent="0.2">
      <c r="A17" s="93"/>
      <c r="B17" s="94" t="s">
        <v>78</v>
      </c>
      <c r="C17" s="95"/>
      <c r="D17" s="95"/>
      <c r="E17" s="95"/>
      <c r="F17" s="95"/>
      <c r="G17" s="95"/>
      <c r="H17" s="95"/>
      <c r="I17" s="95"/>
      <c r="J17" s="95"/>
      <c r="K17" s="95"/>
      <c r="L17" s="95"/>
      <c r="M17" s="95"/>
      <c r="N17" s="95"/>
      <c r="O17" s="95">
        <f t="shared" si="1"/>
        <v>0</v>
      </c>
      <c r="R17" s="96" t="e">
        <f t="shared" si="0"/>
        <v>#DIV/0!</v>
      </c>
    </row>
    <row r="18" spans="1:18" hidden="1" x14ac:dyDescent="0.2">
      <c r="A18" s="93"/>
      <c r="B18" s="94" t="s">
        <v>79</v>
      </c>
      <c r="C18" s="95"/>
      <c r="D18" s="95"/>
      <c r="E18" s="95"/>
      <c r="F18" s="95"/>
      <c r="G18" s="95"/>
      <c r="H18" s="95"/>
      <c r="I18" s="95"/>
      <c r="J18" s="95"/>
      <c r="K18" s="95"/>
      <c r="L18" s="95"/>
      <c r="M18" s="95"/>
      <c r="N18" s="95"/>
      <c r="O18" s="95">
        <f t="shared" si="1"/>
        <v>0</v>
      </c>
      <c r="R18" s="96" t="e">
        <f t="shared" si="0"/>
        <v>#DIV/0!</v>
      </c>
    </row>
    <row r="19" spans="1:18" hidden="1" x14ac:dyDescent="0.2">
      <c r="A19" s="93"/>
      <c r="B19" s="94" t="s">
        <v>80</v>
      </c>
      <c r="C19" s="95"/>
      <c r="D19" s="95"/>
      <c r="E19" s="95"/>
      <c r="F19" s="95"/>
      <c r="G19" s="95"/>
      <c r="H19" s="95"/>
      <c r="I19" s="95"/>
      <c r="J19" s="95"/>
      <c r="K19" s="95"/>
      <c r="L19" s="95"/>
      <c r="M19" s="95"/>
      <c r="N19" s="95"/>
      <c r="O19" s="95">
        <f t="shared" si="1"/>
        <v>0</v>
      </c>
      <c r="R19" s="96" t="e">
        <f t="shared" si="0"/>
        <v>#DIV/0!</v>
      </c>
    </row>
    <row r="20" spans="1:18" hidden="1" x14ac:dyDescent="0.2">
      <c r="A20" s="93"/>
      <c r="B20" s="94" t="s">
        <v>81</v>
      </c>
      <c r="C20" s="95"/>
      <c r="D20" s="95"/>
      <c r="E20" s="95"/>
      <c r="F20" s="95"/>
      <c r="G20" s="95"/>
      <c r="H20" s="95"/>
      <c r="I20" s="95"/>
      <c r="J20" s="95"/>
      <c r="K20" s="95"/>
      <c r="L20" s="95"/>
      <c r="M20" s="95"/>
      <c r="N20" s="95"/>
      <c r="O20" s="95">
        <f t="shared" si="1"/>
        <v>0</v>
      </c>
      <c r="R20" s="96" t="e">
        <f t="shared" si="0"/>
        <v>#DIV/0!</v>
      </c>
    </row>
    <row r="21" spans="1:18" hidden="1" x14ac:dyDescent="0.2">
      <c r="A21" s="93"/>
      <c r="B21" s="94" t="s">
        <v>82</v>
      </c>
      <c r="C21" s="95"/>
      <c r="D21" s="95"/>
      <c r="E21" s="95"/>
      <c r="F21" s="95"/>
      <c r="G21" s="95"/>
      <c r="H21" s="95"/>
      <c r="I21" s="95"/>
      <c r="J21" s="95"/>
      <c r="K21" s="95"/>
      <c r="L21" s="95"/>
      <c r="M21" s="95"/>
      <c r="N21" s="95"/>
      <c r="O21" s="95">
        <f t="shared" si="1"/>
        <v>0</v>
      </c>
      <c r="R21" s="96" t="e">
        <f t="shared" si="0"/>
        <v>#DIV/0!</v>
      </c>
    </row>
    <row r="22" spans="1:18" hidden="1" x14ac:dyDescent="0.2">
      <c r="A22" s="93"/>
      <c r="B22" s="94" t="s">
        <v>83</v>
      </c>
      <c r="C22" s="95"/>
      <c r="D22" s="95"/>
      <c r="E22" s="95"/>
      <c r="F22" s="95"/>
      <c r="G22" s="95"/>
      <c r="H22" s="95"/>
      <c r="I22" s="95"/>
      <c r="J22" s="95"/>
      <c r="K22" s="95"/>
      <c r="L22" s="95"/>
      <c r="M22" s="95"/>
      <c r="N22" s="95"/>
      <c r="O22" s="95">
        <f t="shared" si="1"/>
        <v>0</v>
      </c>
      <c r="R22" s="96" t="e">
        <f t="shared" si="0"/>
        <v>#DIV/0!</v>
      </c>
    </row>
    <row r="23" spans="1:18" hidden="1" x14ac:dyDescent="0.2">
      <c r="A23" s="93"/>
      <c r="B23" s="94" t="s">
        <v>84</v>
      </c>
      <c r="C23" s="95"/>
      <c r="D23" s="95"/>
      <c r="E23" s="95"/>
      <c r="F23" s="95"/>
      <c r="G23" s="95"/>
      <c r="H23" s="95"/>
      <c r="I23" s="95"/>
      <c r="J23" s="95"/>
      <c r="K23" s="95"/>
      <c r="L23" s="95"/>
      <c r="M23" s="95"/>
      <c r="N23" s="95"/>
      <c r="O23" s="95">
        <f t="shared" si="1"/>
        <v>0</v>
      </c>
      <c r="R23" s="96" t="e">
        <f t="shared" si="0"/>
        <v>#DIV/0!</v>
      </c>
    </row>
    <row r="24" spans="1:18" hidden="1" x14ac:dyDescent="0.2">
      <c r="A24" s="93"/>
      <c r="B24" s="94" t="s">
        <v>85</v>
      </c>
      <c r="C24" s="95"/>
      <c r="D24" s="95"/>
      <c r="E24" s="95"/>
      <c r="F24" s="95"/>
      <c r="G24" s="95"/>
      <c r="H24" s="95"/>
      <c r="I24" s="95"/>
      <c r="J24" s="95"/>
      <c r="K24" s="95"/>
      <c r="L24" s="95"/>
      <c r="M24" s="95"/>
      <c r="N24" s="95"/>
      <c r="O24" s="95">
        <f t="shared" si="1"/>
        <v>0</v>
      </c>
      <c r="R24" s="96" t="e">
        <f t="shared" si="0"/>
        <v>#DIV/0!</v>
      </c>
    </row>
    <row r="25" spans="1:18" hidden="1" x14ac:dyDescent="0.2">
      <c r="A25" s="93"/>
      <c r="B25" s="94" t="s">
        <v>86</v>
      </c>
      <c r="C25" s="95"/>
      <c r="D25" s="95"/>
      <c r="E25" s="95"/>
      <c r="F25" s="95"/>
      <c r="G25" s="95"/>
      <c r="H25" s="95"/>
      <c r="I25" s="95"/>
      <c r="J25" s="95"/>
      <c r="K25" s="95"/>
      <c r="L25" s="95"/>
      <c r="M25" s="95"/>
      <c r="N25" s="95"/>
      <c r="O25" s="95">
        <f t="shared" si="1"/>
        <v>0</v>
      </c>
      <c r="R25" s="96" t="e">
        <f t="shared" si="0"/>
        <v>#DIV/0!</v>
      </c>
    </row>
    <row r="26" spans="1:18" hidden="1" x14ac:dyDescent="0.2">
      <c r="A26" s="93"/>
      <c r="B26" s="94" t="s">
        <v>87</v>
      </c>
      <c r="C26" s="95"/>
      <c r="D26" s="95"/>
      <c r="E26" s="95"/>
      <c r="F26" s="95"/>
      <c r="G26" s="95"/>
      <c r="H26" s="95"/>
      <c r="I26" s="95"/>
      <c r="J26" s="95"/>
      <c r="K26" s="95"/>
      <c r="L26" s="95"/>
      <c r="M26" s="95"/>
      <c r="N26" s="95"/>
      <c r="O26" s="95">
        <f t="shared" si="1"/>
        <v>0</v>
      </c>
      <c r="R26" s="96" t="e">
        <f t="shared" si="0"/>
        <v>#DIV/0!</v>
      </c>
    </row>
    <row r="27" spans="1:18" hidden="1" x14ac:dyDescent="0.2">
      <c r="A27" s="93" t="s">
        <v>205</v>
      </c>
      <c r="B27" s="94"/>
      <c r="C27" s="95"/>
      <c r="D27" s="95"/>
      <c r="E27" s="95"/>
      <c r="F27" s="95"/>
      <c r="G27" s="95"/>
      <c r="H27" s="95"/>
      <c r="I27" s="95"/>
      <c r="J27" s="95"/>
      <c r="K27" s="95"/>
      <c r="L27" s="95"/>
      <c r="M27" s="95"/>
      <c r="N27" s="95"/>
      <c r="O27" s="95">
        <f t="shared" si="1"/>
        <v>0</v>
      </c>
      <c r="R27" s="96" t="e">
        <f t="shared" si="0"/>
        <v>#DIV/0!</v>
      </c>
    </row>
    <row r="28" spans="1:18" hidden="1" x14ac:dyDescent="0.2">
      <c r="A28" s="93" t="s">
        <v>206</v>
      </c>
      <c r="B28" s="94"/>
      <c r="C28" s="95"/>
      <c r="D28" s="95"/>
      <c r="E28" s="95"/>
      <c r="F28" s="95"/>
      <c r="G28" s="95"/>
      <c r="H28" s="95"/>
      <c r="I28" s="95"/>
      <c r="J28" s="95"/>
      <c r="K28" s="95"/>
      <c r="L28" s="95"/>
      <c r="M28" s="95"/>
      <c r="N28" s="95"/>
      <c r="O28" s="95">
        <f t="shared" si="1"/>
        <v>0</v>
      </c>
      <c r="R28" s="96" t="e">
        <f t="shared" si="0"/>
        <v>#DIV/0!</v>
      </c>
    </row>
    <row r="29" spans="1:18" x14ac:dyDescent="0.2">
      <c r="A29" s="93"/>
      <c r="B29" s="94" t="s">
        <v>88</v>
      </c>
      <c r="C29" s="95">
        <v>0</v>
      </c>
      <c r="D29" s="95">
        <v>0</v>
      </c>
      <c r="E29" s="95">
        <v>0</v>
      </c>
      <c r="F29" s="95">
        <v>0</v>
      </c>
      <c r="G29" s="95">
        <v>0</v>
      </c>
      <c r="H29" s="95">
        <v>0</v>
      </c>
      <c r="I29" s="95">
        <v>0</v>
      </c>
      <c r="J29" s="95">
        <v>0</v>
      </c>
      <c r="K29" s="95">
        <v>0</v>
      </c>
      <c r="L29" s="95">
        <v>0</v>
      </c>
      <c r="M29" s="95">
        <v>0</v>
      </c>
      <c r="N29" s="95">
        <v>300000</v>
      </c>
      <c r="O29" s="95">
        <f t="shared" si="1"/>
        <v>300000</v>
      </c>
      <c r="P29" s="122"/>
      <c r="Q29" s="90">
        <v>15000</v>
      </c>
      <c r="R29" s="96">
        <f t="shared" si="0"/>
        <v>19</v>
      </c>
    </row>
    <row r="30" spans="1:18" x14ac:dyDescent="0.2">
      <c r="A30" s="93"/>
      <c r="B30" s="94" t="s">
        <v>89</v>
      </c>
      <c r="C30" s="95">
        <v>0</v>
      </c>
      <c r="D30" s="95">
        <v>0</v>
      </c>
      <c r="E30" s="95">
        <v>0</v>
      </c>
      <c r="F30" s="95">
        <v>0</v>
      </c>
      <c r="G30" s="95">
        <v>0</v>
      </c>
      <c r="H30" s="95">
        <v>10000</v>
      </c>
      <c r="I30" s="95">
        <v>6500</v>
      </c>
      <c r="J30" s="95">
        <v>0</v>
      </c>
      <c r="K30" s="95">
        <v>10000</v>
      </c>
      <c r="L30" s="95">
        <v>0</v>
      </c>
      <c r="M30" s="95">
        <v>0</v>
      </c>
      <c r="N30" s="95">
        <v>0</v>
      </c>
      <c r="O30" s="95">
        <f>SUM(C30:N30)</f>
        <v>26500</v>
      </c>
      <c r="P30" s="123"/>
      <c r="Q30" s="90">
        <v>80000</v>
      </c>
      <c r="R30" s="96">
        <f t="shared" si="0"/>
        <v>-0.66874999999999996</v>
      </c>
    </row>
    <row r="31" spans="1:18" x14ac:dyDescent="0.2">
      <c r="A31" s="93"/>
      <c r="B31" s="94" t="s">
        <v>90</v>
      </c>
      <c r="C31" s="95">
        <v>0</v>
      </c>
      <c r="D31" s="95">
        <v>-1000</v>
      </c>
      <c r="E31" s="95">
        <v>0</v>
      </c>
      <c r="F31" s="95">
        <v>0</v>
      </c>
      <c r="G31" s="95">
        <v>-1000</v>
      </c>
      <c r="H31" s="95">
        <v>0</v>
      </c>
      <c r="I31" s="95">
        <v>0</v>
      </c>
      <c r="J31" s="95">
        <v>0</v>
      </c>
      <c r="K31" s="95">
        <v>0</v>
      </c>
      <c r="L31" s="95">
        <v>0</v>
      </c>
      <c r="M31" s="95">
        <v>0</v>
      </c>
      <c r="N31" s="95">
        <v>0</v>
      </c>
      <c r="O31" s="95">
        <f t="shared" si="1"/>
        <v>-2000</v>
      </c>
      <c r="P31" s="123"/>
      <c r="Q31" s="90">
        <v>-8000</v>
      </c>
      <c r="R31" s="96">
        <f t="shared" si="0"/>
        <v>-0.75</v>
      </c>
    </row>
    <row r="32" spans="1:18" hidden="1" x14ac:dyDescent="0.2">
      <c r="A32" s="93"/>
      <c r="B32" s="94" t="s">
        <v>91</v>
      </c>
      <c r="C32" s="95"/>
      <c r="D32" s="95"/>
      <c r="E32" s="95"/>
      <c r="F32" s="95"/>
      <c r="G32" s="95"/>
      <c r="H32" s="95"/>
      <c r="I32" s="95"/>
      <c r="J32" s="95"/>
      <c r="K32" s="95"/>
      <c r="L32" s="95"/>
      <c r="M32" s="95"/>
      <c r="N32" s="95"/>
      <c r="O32" s="95">
        <f t="shared" si="1"/>
        <v>0</v>
      </c>
      <c r="P32" s="123"/>
      <c r="R32" s="96" t="e">
        <f t="shared" si="0"/>
        <v>#DIV/0!</v>
      </c>
    </row>
    <row r="33" spans="1:23" ht="13.95" hidden="1" customHeight="1" x14ac:dyDescent="0.2">
      <c r="A33" s="93"/>
      <c r="B33" s="94" t="s">
        <v>92</v>
      </c>
      <c r="C33" s="95"/>
      <c r="D33" s="95"/>
      <c r="E33" s="95"/>
      <c r="F33" s="95"/>
      <c r="G33" s="95"/>
      <c r="H33" s="95"/>
      <c r="I33" s="95"/>
      <c r="J33" s="95"/>
      <c r="K33" s="95"/>
      <c r="L33" s="95"/>
      <c r="M33" s="95"/>
      <c r="N33" s="95"/>
      <c r="O33" s="95">
        <f t="shared" si="1"/>
        <v>0</v>
      </c>
      <c r="P33" s="123"/>
      <c r="R33" s="96" t="e">
        <f t="shared" si="0"/>
        <v>#DIV/0!</v>
      </c>
    </row>
    <row r="34" spans="1:23" hidden="1" x14ac:dyDescent="0.2">
      <c r="A34" s="93"/>
      <c r="B34" s="94" t="s">
        <v>93</v>
      </c>
      <c r="C34" s="95"/>
      <c r="D34" s="95"/>
      <c r="E34" s="95"/>
      <c r="F34" s="95"/>
      <c r="G34" s="95"/>
      <c r="H34" s="95"/>
      <c r="I34" s="95"/>
      <c r="J34" s="95"/>
      <c r="K34" s="95"/>
      <c r="L34" s="95"/>
      <c r="M34" s="95"/>
      <c r="N34" s="95"/>
      <c r="O34" s="95">
        <f t="shared" si="1"/>
        <v>0</v>
      </c>
      <c r="P34" s="123"/>
      <c r="R34" s="96" t="e">
        <f t="shared" si="0"/>
        <v>#DIV/0!</v>
      </c>
    </row>
    <row r="35" spans="1:23" hidden="1" x14ac:dyDescent="0.2">
      <c r="A35" s="93"/>
      <c r="B35" s="94" t="s">
        <v>94</v>
      </c>
      <c r="C35" s="95"/>
      <c r="D35" s="95"/>
      <c r="E35" s="95"/>
      <c r="F35" s="95"/>
      <c r="G35" s="95"/>
      <c r="H35" s="95"/>
      <c r="I35" s="95"/>
      <c r="J35" s="95"/>
      <c r="K35" s="95"/>
      <c r="L35" s="95"/>
      <c r="M35" s="95"/>
      <c r="N35" s="95"/>
      <c r="O35" s="95">
        <f t="shared" si="1"/>
        <v>0</v>
      </c>
      <c r="P35" s="123"/>
      <c r="R35" s="96" t="e">
        <f t="shared" si="0"/>
        <v>#DIV/0!</v>
      </c>
    </row>
    <row r="36" spans="1:23" x14ac:dyDescent="0.2">
      <c r="A36" s="93"/>
      <c r="B36" s="94" t="s">
        <v>95</v>
      </c>
      <c r="C36" s="95">
        <v>0</v>
      </c>
      <c r="D36" s="95">
        <v>5000</v>
      </c>
      <c r="E36" s="95">
        <v>8750</v>
      </c>
      <c r="F36" s="95">
        <v>0</v>
      </c>
      <c r="G36" s="95">
        <v>0</v>
      </c>
      <c r="H36" s="95">
        <v>15250</v>
      </c>
      <c r="I36" s="95">
        <v>0</v>
      </c>
      <c r="J36" s="95">
        <v>15000</v>
      </c>
      <c r="K36" s="95">
        <v>3750</v>
      </c>
      <c r="L36" s="95">
        <v>0</v>
      </c>
      <c r="M36" s="95">
        <v>0</v>
      </c>
      <c r="N36" s="95">
        <v>28750</v>
      </c>
      <c r="O36" s="95">
        <f>SUM(C36:N36)</f>
        <v>76500</v>
      </c>
      <c r="P36" s="123"/>
      <c r="Q36" s="90">
        <v>25000</v>
      </c>
      <c r="R36" s="96">
        <f t="shared" si="0"/>
        <v>2.06</v>
      </c>
    </row>
    <row r="37" spans="1:23" x14ac:dyDescent="0.2">
      <c r="A37" s="93"/>
      <c r="B37" s="94" t="s">
        <v>96</v>
      </c>
      <c r="C37" s="95">
        <v>0</v>
      </c>
      <c r="D37" s="95">
        <v>0</v>
      </c>
      <c r="E37" s="95">
        <v>0</v>
      </c>
      <c r="F37" s="95">
        <v>0</v>
      </c>
      <c r="G37" s="95">
        <v>0</v>
      </c>
      <c r="H37" s="95">
        <v>0</v>
      </c>
      <c r="I37" s="95">
        <v>0</v>
      </c>
      <c r="J37" s="95">
        <v>15000</v>
      </c>
      <c r="K37" s="95">
        <v>0</v>
      </c>
      <c r="L37" s="95">
        <v>15000</v>
      </c>
      <c r="M37" s="95">
        <v>0</v>
      </c>
      <c r="N37" s="95">
        <v>0</v>
      </c>
      <c r="O37" s="95">
        <f t="shared" si="1"/>
        <v>30000</v>
      </c>
      <c r="P37" s="123"/>
      <c r="Q37" s="90">
        <v>50000</v>
      </c>
      <c r="R37" s="96">
        <f t="shared" si="0"/>
        <v>-0.4</v>
      </c>
      <c r="W37" s="91"/>
    </row>
    <row r="38" spans="1:23" hidden="1" x14ac:dyDescent="0.2">
      <c r="A38" s="93" t="s">
        <v>207</v>
      </c>
      <c r="B38" s="94"/>
      <c r="C38" s="95"/>
      <c r="D38" s="95"/>
      <c r="E38" s="95"/>
      <c r="F38" s="95"/>
      <c r="G38" s="95"/>
      <c r="H38" s="95"/>
      <c r="I38" s="95"/>
      <c r="J38" s="95"/>
      <c r="K38" s="95"/>
      <c r="L38" s="95"/>
      <c r="M38" s="95"/>
      <c r="N38" s="95"/>
      <c r="O38" s="95">
        <f t="shared" si="1"/>
        <v>0</v>
      </c>
      <c r="R38" s="96" t="e">
        <f t="shared" si="0"/>
        <v>#DIV/0!</v>
      </c>
    </row>
    <row r="39" spans="1:23" hidden="1" x14ac:dyDescent="0.2">
      <c r="A39" s="93" t="s">
        <v>208</v>
      </c>
      <c r="B39" s="94"/>
      <c r="C39" s="95"/>
      <c r="D39" s="95"/>
      <c r="E39" s="95"/>
      <c r="F39" s="95"/>
      <c r="G39" s="95"/>
      <c r="H39" s="95"/>
      <c r="I39" s="95"/>
      <c r="J39" s="95"/>
      <c r="K39" s="95"/>
      <c r="L39" s="95"/>
      <c r="M39" s="95"/>
      <c r="N39" s="95"/>
      <c r="O39" s="95">
        <f t="shared" si="1"/>
        <v>0</v>
      </c>
      <c r="R39" s="96" t="e">
        <f t="shared" si="0"/>
        <v>#DIV/0!</v>
      </c>
    </row>
    <row r="40" spans="1:23" hidden="1" x14ac:dyDescent="0.2">
      <c r="A40" s="93"/>
      <c r="B40" s="94" t="s">
        <v>97</v>
      </c>
      <c r="C40" s="95"/>
      <c r="D40" s="95"/>
      <c r="E40" s="95"/>
      <c r="F40" s="95"/>
      <c r="G40" s="95"/>
      <c r="H40" s="95"/>
      <c r="I40" s="95"/>
      <c r="J40" s="95"/>
      <c r="K40" s="95"/>
      <c r="L40" s="95"/>
      <c r="M40" s="95"/>
      <c r="N40" s="95"/>
      <c r="O40" s="95">
        <f t="shared" si="1"/>
        <v>0</v>
      </c>
      <c r="R40" s="96" t="e">
        <f t="shared" si="0"/>
        <v>#DIV/0!</v>
      </c>
    </row>
    <row r="41" spans="1:23" hidden="1" x14ac:dyDescent="0.2">
      <c r="A41" s="93"/>
      <c r="B41" s="94" t="s">
        <v>98</v>
      </c>
      <c r="C41" s="95"/>
      <c r="D41" s="95"/>
      <c r="E41" s="95"/>
      <c r="F41" s="95"/>
      <c r="G41" s="95"/>
      <c r="H41" s="95"/>
      <c r="I41" s="95"/>
      <c r="J41" s="95"/>
      <c r="K41" s="95"/>
      <c r="L41" s="95"/>
      <c r="M41" s="95"/>
      <c r="N41" s="95"/>
      <c r="O41" s="95">
        <f t="shared" si="1"/>
        <v>0</v>
      </c>
      <c r="R41" s="96" t="e">
        <f t="shared" si="0"/>
        <v>#DIV/0!</v>
      </c>
    </row>
    <row r="42" spans="1:23" hidden="1" x14ac:dyDescent="0.2">
      <c r="A42" s="93"/>
      <c r="B42" s="94" t="s">
        <v>99</v>
      </c>
      <c r="C42" s="95"/>
      <c r="D42" s="95"/>
      <c r="E42" s="95"/>
      <c r="F42" s="95"/>
      <c r="G42" s="95"/>
      <c r="H42" s="95"/>
      <c r="I42" s="95"/>
      <c r="J42" s="95"/>
      <c r="K42" s="95"/>
      <c r="L42" s="95"/>
      <c r="M42" s="95"/>
      <c r="N42" s="95"/>
      <c r="O42" s="95">
        <f t="shared" si="1"/>
        <v>0</v>
      </c>
      <c r="R42" s="96" t="e">
        <f t="shared" si="0"/>
        <v>#DIV/0!</v>
      </c>
    </row>
    <row r="43" spans="1:23" hidden="1" x14ac:dyDescent="0.2">
      <c r="A43" s="93"/>
      <c r="B43" s="94" t="s">
        <v>209</v>
      </c>
      <c r="C43" s="95"/>
      <c r="D43" s="95"/>
      <c r="E43" s="95"/>
      <c r="F43" s="95"/>
      <c r="G43" s="95"/>
      <c r="H43" s="95"/>
      <c r="I43" s="95"/>
      <c r="J43" s="95"/>
      <c r="K43" s="95"/>
      <c r="L43" s="95"/>
      <c r="M43" s="95"/>
      <c r="N43" s="95"/>
      <c r="O43" s="95">
        <f t="shared" si="1"/>
        <v>0</v>
      </c>
      <c r="P43" s="91"/>
      <c r="R43" s="96" t="e">
        <f t="shared" si="0"/>
        <v>#DIV/0!</v>
      </c>
    </row>
    <row r="44" spans="1:23" hidden="1" x14ac:dyDescent="0.2">
      <c r="A44" s="93"/>
      <c r="B44" s="94" t="s">
        <v>210</v>
      </c>
      <c r="C44" s="95"/>
      <c r="D44" s="95"/>
      <c r="E44" s="95"/>
      <c r="F44" s="95"/>
      <c r="G44" s="95"/>
      <c r="H44" s="95"/>
      <c r="I44" s="95"/>
      <c r="J44" s="95"/>
      <c r="K44" s="95"/>
      <c r="L44" s="95"/>
      <c r="M44" s="95"/>
      <c r="N44" s="95"/>
      <c r="O44" s="95">
        <f t="shared" si="1"/>
        <v>0</v>
      </c>
      <c r="R44" s="96" t="e">
        <f t="shared" si="0"/>
        <v>#DIV/0!</v>
      </c>
    </row>
    <row r="45" spans="1:23" hidden="1" x14ac:dyDescent="0.2">
      <c r="A45" s="93"/>
      <c r="B45" s="94" t="s">
        <v>211</v>
      </c>
      <c r="C45" s="95"/>
      <c r="D45" s="95"/>
      <c r="E45" s="95"/>
      <c r="F45" s="95"/>
      <c r="G45" s="95"/>
      <c r="H45" s="95"/>
      <c r="I45" s="95"/>
      <c r="J45" s="95"/>
      <c r="K45" s="95"/>
      <c r="L45" s="95"/>
      <c r="M45" s="95"/>
      <c r="N45" s="95"/>
      <c r="O45" s="95">
        <f t="shared" si="1"/>
        <v>0</v>
      </c>
      <c r="R45" s="96" t="e">
        <f t="shared" si="0"/>
        <v>#DIV/0!</v>
      </c>
    </row>
    <row r="46" spans="1:23" hidden="1" x14ac:dyDescent="0.2">
      <c r="A46" s="93" t="s">
        <v>101</v>
      </c>
      <c r="B46" s="94"/>
      <c r="C46" s="95"/>
      <c r="D46" s="95"/>
      <c r="E46" s="95"/>
      <c r="F46" s="95"/>
      <c r="G46" s="95"/>
      <c r="H46" s="95"/>
      <c r="I46" s="95"/>
      <c r="J46" s="95"/>
      <c r="K46" s="95"/>
      <c r="L46" s="95"/>
      <c r="M46" s="95"/>
      <c r="N46" s="95"/>
      <c r="O46" s="95">
        <f t="shared" si="1"/>
        <v>0</v>
      </c>
      <c r="R46" s="96" t="e">
        <f t="shared" si="0"/>
        <v>#DIV/0!</v>
      </c>
    </row>
    <row r="47" spans="1:23" x14ac:dyDescent="0.2">
      <c r="A47" s="93"/>
      <c r="B47" s="94" t="s">
        <v>103</v>
      </c>
      <c r="C47" s="95">
        <v>162636.25</v>
      </c>
      <c r="D47" s="95">
        <v>169466.25</v>
      </c>
      <c r="E47" s="95">
        <v>153346.25</v>
      </c>
      <c r="F47" s="95">
        <v>160226.25</v>
      </c>
      <c r="G47" s="95">
        <v>135341.25</v>
      </c>
      <c r="H47" s="95">
        <v>117671.25</v>
      </c>
      <c r="I47" s="95">
        <v>142216.25</v>
      </c>
      <c r="J47" s="95">
        <v>140461.25</v>
      </c>
      <c r="K47" s="95">
        <v>172081.25</v>
      </c>
      <c r="L47" s="95">
        <v>154016.25</v>
      </c>
      <c r="M47" s="95">
        <v>154016.25</v>
      </c>
      <c r="N47" s="95">
        <v>148521.25</v>
      </c>
      <c r="O47" s="97">
        <f>SUM(C47:N47)+5000</f>
        <v>1815000</v>
      </c>
      <c r="P47" s="126"/>
      <c r="Q47" s="90">
        <v>1950500</v>
      </c>
      <c r="R47" s="96">
        <f t="shared" si="0"/>
        <v>-6.9469366829018206E-2</v>
      </c>
      <c r="W47" s="91"/>
    </row>
    <row r="48" spans="1:23" hidden="1" x14ac:dyDescent="0.2">
      <c r="A48" s="93"/>
      <c r="B48" s="94" t="s">
        <v>104</v>
      </c>
      <c r="C48" s="95"/>
      <c r="D48" s="95"/>
      <c r="E48" s="95"/>
      <c r="F48" s="95"/>
      <c r="G48" s="95"/>
      <c r="H48" s="95"/>
      <c r="I48" s="95"/>
      <c r="J48" s="95"/>
      <c r="K48" s="95"/>
      <c r="L48" s="95"/>
      <c r="M48" s="95"/>
      <c r="N48" s="95"/>
      <c r="O48" s="95">
        <f t="shared" si="1"/>
        <v>0</v>
      </c>
      <c r="P48" s="126"/>
      <c r="R48" s="96" t="e">
        <f t="shared" si="0"/>
        <v>#DIV/0!</v>
      </c>
    </row>
    <row r="49" spans="1:23" hidden="1" x14ac:dyDescent="0.2">
      <c r="A49" s="93"/>
      <c r="B49" s="94" t="s">
        <v>105</v>
      </c>
      <c r="C49" s="95"/>
      <c r="D49" s="95"/>
      <c r="E49" s="95"/>
      <c r="F49" s="95"/>
      <c r="G49" s="95"/>
      <c r="H49" s="95"/>
      <c r="I49" s="95"/>
      <c r="J49" s="95"/>
      <c r="K49" s="95"/>
      <c r="L49" s="95"/>
      <c r="M49" s="95"/>
      <c r="N49" s="95"/>
      <c r="O49" s="95">
        <f t="shared" si="1"/>
        <v>0</v>
      </c>
      <c r="P49" s="126"/>
      <c r="R49" s="96" t="e">
        <f t="shared" si="0"/>
        <v>#DIV/0!</v>
      </c>
    </row>
    <row r="50" spans="1:23" hidden="1" x14ac:dyDescent="0.2">
      <c r="A50" s="93"/>
      <c r="B50" s="94" t="s">
        <v>106</v>
      </c>
      <c r="C50" s="95"/>
      <c r="D50" s="95"/>
      <c r="E50" s="95"/>
      <c r="F50" s="95"/>
      <c r="G50" s="95"/>
      <c r="H50" s="95"/>
      <c r="I50" s="95"/>
      <c r="J50" s="95"/>
      <c r="K50" s="95"/>
      <c r="L50" s="95"/>
      <c r="M50" s="95"/>
      <c r="N50" s="95"/>
      <c r="O50" s="95">
        <f t="shared" si="1"/>
        <v>0</v>
      </c>
      <c r="P50" s="126"/>
      <c r="R50" s="96" t="e">
        <f t="shared" si="0"/>
        <v>#DIV/0!</v>
      </c>
    </row>
    <row r="51" spans="1:23" hidden="1" x14ac:dyDescent="0.2">
      <c r="A51" s="93" t="s">
        <v>212</v>
      </c>
      <c r="B51" s="94"/>
      <c r="C51" s="95"/>
      <c r="D51" s="95"/>
      <c r="E51" s="95"/>
      <c r="F51" s="95"/>
      <c r="G51" s="95"/>
      <c r="H51" s="95"/>
      <c r="I51" s="95"/>
      <c r="J51" s="95"/>
      <c r="K51" s="95"/>
      <c r="L51" s="95"/>
      <c r="M51" s="95"/>
      <c r="N51" s="95"/>
      <c r="O51" s="95">
        <f t="shared" si="1"/>
        <v>0</v>
      </c>
      <c r="P51" s="126"/>
      <c r="R51" s="96" t="e">
        <f t="shared" si="0"/>
        <v>#DIV/0!</v>
      </c>
    </row>
    <row r="52" spans="1:23" hidden="1" x14ac:dyDescent="0.2">
      <c r="A52" s="93"/>
      <c r="B52" s="94" t="s">
        <v>107</v>
      </c>
      <c r="C52" s="95"/>
      <c r="D52" s="95"/>
      <c r="E52" s="95"/>
      <c r="F52" s="95"/>
      <c r="G52" s="95"/>
      <c r="H52" s="95"/>
      <c r="I52" s="95"/>
      <c r="J52" s="95"/>
      <c r="K52" s="95"/>
      <c r="L52" s="95"/>
      <c r="M52" s="95"/>
      <c r="N52" s="95"/>
      <c r="O52" s="95">
        <f t="shared" si="1"/>
        <v>0</v>
      </c>
      <c r="P52" s="126"/>
      <c r="R52" s="96" t="e">
        <f t="shared" si="0"/>
        <v>#DIV/0!</v>
      </c>
    </row>
    <row r="53" spans="1:23" hidden="1" x14ac:dyDescent="0.2">
      <c r="A53" s="93"/>
      <c r="B53" s="94" t="s">
        <v>108</v>
      </c>
      <c r="C53" s="95"/>
      <c r="D53" s="95"/>
      <c r="E53" s="95"/>
      <c r="F53" s="95"/>
      <c r="G53" s="95"/>
      <c r="H53" s="95"/>
      <c r="I53" s="95"/>
      <c r="J53" s="95"/>
      <c r="K53" s="95"/>
      <c r="L53" s="95"/>
      <c r="M53" s="95"/>
      <c r="N53" s="95"/>
      <c r="O53" s="95">
        <f t="shared" si="1"/>
        <v>0</v>
      </c>
      <c r="P53" s="126"/>
      <c r="R53" s="96" t="e">
        <f t="shared" si="0"/>
        <v>#DIV/0!</v>
      </c>
    </row>
    <row r="54" spans="1:23" hidden="1" x14ac:dyDescent="0.2">
      <c r="A54" s="93"/>
      <c r="B54" s="94" t="s">
        <v>109</v>
      </c>
      <c r="C54" s="95"/>
      <c r="D54" s="95"/>
      <c r="E54" s="95"/>
      <c r="F54" s="95"/>
      <c r="G54" s="95"/>
      <c r="H54" s="95"/>
      <c r="I54" s="95"/>
      <c r="J54" s="95"/>
      <c r="K54" s="95"/>
      <c r="L54" s="95"/>
      <c r="M54" s="95"/>
      <c r="N54" s="95"/>
      <c r="O54" s="95">
        <f t="shared" si="1"/>
        <v>0</v>
      </c>
      <c r="P54" s="126"/>
      <c r="R54" s="96" t="e">
        <f t="shared" si="0"/>
        <v>#DIV/0!</v>
      </c>
    </row>
    <row r="55" spans="1:23" hidden="1" x14ac:dyDescent="0.2">
      <c r="A55" s="93" t="s">
        <v>213</v>
      </c>
      <c r="B55" s="94"/>
      <c r="C55" s="95"/>
      <c r="D55" s="95"/>
      <c r="E55" s="95"/>
      <c r="F55" s="95"/>
      <c r="G55" s="95"/>
      <c r="H55" s="95"/>
      <c r="I55" s="95"/>
      <c r="J55" s="95"/>
      <c r="K55" s="95"/>
      <c r="L55" s="95"/>
      <c r="M55" s="95"/>
      <c r="N55" s="95"/>
      <c r="O55" s="95">
        <f t="shared" si="1"/>
        <v>0</v>
      </c>
      <c r="P55" s="126"/>
      <c r="R55" s="96" t="e">
        <f t="shared" si="0"/>
        <v>#DIV/0!</v>
      </c>
    </row>
    <row r="56" spans="1:23" hidden="1" x14ac:dyDescent="0.2">
      <c r="A56" s="93" t="s">
        <v>214</v>
      </c>
      <c r="B56" s="94"/>
      <c r="C56" s="95"/>
      <c r="D56" s="95"/>
      <c r="E56" s="95"/>
      <c r="F56" s="95"/>
      <c r="G56" s="95"/>
      <c r="H56" s="95"/>
      <c r="I56" s="95"/>
      <c r="J56" s="95"/>
      <c r="K56" s="95"/>
      <c r="L56" s="95"/>
      <c r="M56" s="95"/>
      <c r="N56" s="95"/>
      <c r="O56" s="95">
        <f t="shared" si="1"/>
        <v>0</v>
      </c>
      <c r="P56" s="126"/>
      <c r="R56" s="96" t="e">
        <f t="shared" si="0"/>
        <v>#DIV/0!</v>
      </c>
    </row>
    <row r="57" spans="1:23" hidden="1" x14ac:dyDescent="0.2">
      <c r="A57" s="93"/>
      <c r="B57" s="94" t="s">
        <v>110</v>
      </c>
      <c r="C57" s="95"/>
      <c r="D57" s="95"/>
      <c r="E57" s="95"/>
      <c r="F57" s="95"/>
      <c r="G57" s="95"/>
      <c r="H57" s="95"/>
      <c r="I57" s="95"/>
      <c r="J57" s="95"/>
      <c r="K57" s="95"/>
      <c r="L57" s="95"/>
      <c r="M57" s="95"/>
      <c r="N57" s="95"/>
      <c r="O57" s="95">
        <f t="shared" si="1"/>
        <v>0</v>
      </c>
      <c r="P57" s="126"/>
      <c r="R57" s="96" t="e">
        <f t="shared" si="0"/>
        <v>#DIV/0!</v>
      </c>
    </row>
    <row r="58" spans="1:23" hidden="1" x14ac:dyDescent="0.2">
      <c r="A58" s="93"/>
      <c r="B58" s="94" t="s">
        <v>111</v>
      </c>
      <c r="C58" s="95"/>
      <c r="D58" s="95"/>
      <c r="E58" s="95"/>
      <c r="F58" s="95"/>
      <c r="G58" s="95"/>
      <c r="H58" s="95"/>
      <c r="I58" s="95"/>
      <c r="J58" s="95"/>
      <c r="K58" s="95"/>
      <c r="L58" s="95"/>
      <c r="M58" s="95"/>
      <c r="N58" s="95"/>
      <c r="O58" s="95">
        <f t="shared" si="1"/>
        <v>0</v>
      </c>
      <c r="P58" s="126"/>
      <c r="R58" s="96" t="e">
        <f t="shared" si="0"/>
        <v>#DIV/0!</v>
      </c>
    </row>
    <row r="59" spans="1:23" x14ac:dyDescent="0.2">
      <c r="A59" s="93"/>
      <c r="B59" s="94" t="s">
        <v>215</v>
      </c>
      <c r="C59" s="95">
        <v>800</v>
      </c>
      <c r="D59" s="95">
        <v>800</v>
      </c>
      <c r="E59" s="95">
        <v>800</v>
      </c>
      <c r="F59" s="95">
        <v>800</v>
      </c>
      <c r="G59" s="95">
        <v>800</v>
      </c>
      <c r="H59" s="95">
        <v>800</v>
      </c>
      <c r="I59" s="95">
        <v>800</v>
      </c>
      <c r="J59" s="95">
        <v>800</v>
      </c>
      <c r="K59" s="95">
        <v>800</v>
      </c>
      <c r="L59" s="95">
        <v>800</v>
      </c>
      <c r="M59" s="95">
        <v>800</v>
      </c>
      <c r="N59" s="95">
        <v>800</v>
      </c>
      <c r="O59" s="95">
        <f t="shared" si="1"/>
        <v>9600</v>
      </c>
      <c r="P59" s="126"/>
      <c r="R59" s="96"/>
      <c r="W59" s="91"/>
    </row>
    <row r="60" spans="1:23" x14ac:dyDescent="0.2">
      <c r="A60" s="93"/>
      <c r="B60" s="94" t="s">
        <v>216</v>
      </c>
      <c r="C60" s="95">
        <v>3250</v>
      </c>
      <c r="D60" s="95">
        <v>3500</v>
      </c>
      <c r="E60" s="95">
        <v>3500</v>
      </c>
      <c r="F60" s="95">
        <v>3500</v>
      </c>
      <c r="G60" s="95">
        <v>3500</v>
      </c>
      <c r="H60" s="95">
        <v>3500</v>
      </c>
      <c r="I60" s="95">
        <v>3500</v>
      </c>
      <c r="J60" s="95">
        <v>3500</v>
      </c>
      <c r="K60" s="95">
        <v>3500</v>
      </c>
      <c r="L60" s="95">
        <v>3500</v>
      </c>
      <c r="M60" s="95">
        <v>3500</v>
      </c>
      <c r="N60" s="95">
        <v>3500</v>
      </c>
      <c r="O60" s="95">
        <f t="shared" si="1"/>
        <v>41750</v>
      </c>
      <c r="P60" s="126"/>
      <c r="Q60" s="90">
        <v>45000</v>
      </c>
      <c r="R60" s="96">
        <f t="shared" si="0"/>
        <v>-7.2222222222222215E-2</v>
      </c>
    </row>
    <row r="61" spans="1:23" hidden="1" x14ac:dyDescent="0.2">
      <c r="A61" s="93"/>
      <c r="B61" s="94" t="s">
        <v>217</v>
      </c>
      <c r="C61" s="95">
        <v>0</v>
      </c>
      <c r="D61" s="95">
        <v>0</v>
      </c>
      <c r="E61" s="95">
        <v>0</v>
      </c>
      <c r="F61" s="95">
        <v>0</v>
      </c>
      <c r="G61" s="95">
        <v>0</v>
      </c>
      <c r="H61" s="95">
        <v>0</v>
      </c>
      <c r="I61" s="95">
        <v>0</v>
      </c>
      <c r="J61" s="95">
        <v>0</v>
      </c>
      <c r="K61" s="95">
        <v>0</v>
      </c>
      <c r="L61" s="95">
        <v>0</v>
      </c>
      <c r="M61" s="95">
        <v>0</v>
      </c>
      <c r="N61" s="95">
        <v>0</v>
      </c>
      <c r="O61" s="95">
        <f t="shared" si="1"/>
        <v>0</v>
      </c>
      <c r="R61" s="96" t="e">
        <f t="shared" si="0"/>
        <v>#DIV/0!</v>
      </c>
    </row>
    <row r="62" spans="1:23" x14ac:dyDescent="0.2">
      <c r="A62" s="93"/>
      <c r="B62" s="94" t="s">
        <v>115</v>
      </c>
      <c r="C62" s="95">
        <v>0</v>
      </c>
      <c r="D62" s="95">
        <v>0</v>
      </c>
      <c r="E62" s="95">
        <v>1050</v>
      </c>
      <c r="F62" s="95">
        <v>0</v>
      </c>
      <c r="G62" s="95">
        <v>0</v>
      </c>
      <c r="H62" s="95">
        <v>0</v>
      </c>
      <c r="I62" s="95">
        <v>1050</v>
      </c>
      <c r="J62" s="95">
        <v>0</v>
      </c>
      <c r="K62" s="95">
        <v>0</v>
      </c>
      <c r="L62" s="95">
        <v>0</v>
      </c>
      <c r="M62" s="95">
        <v>1050</v>
      </c>
      <c r="N62" s="95">
        <v>0</v>
      </c>
      <c r="O62" s="95">
        <f t="shared" si="1"/>
        <v>3150</v>
      </c>
      <c r="P62" s="124"/>
      <c r="Q62" s="90">
        <v>875</v>
      </c>
      <c r="R62" s="96">
        <f t="shared" si="0"/>
        <v>2.6</v>
      </c>
    </row>
    <row r="63" spans="1:23" x14ac:dyDescent="0.2">
      <c r="A63" s="93"/>
      <c r="B63" s="94" t="s">
        <v>116</v>
      </c>
      <c r="C63" s="95">
        <v>70</v>
      </c>
      <c r="D63" s="95">
        <v>70</v>
      </c>
      <c r="E63" s="95">
        <v>70</v>
      </c>
      <c r="F63" s="95">
        <v>70</v>
      </c>
      <c r="G63" s="95">
        <v>70</v>
      </c>
      <c r="H63" s="95">
        <v>70</v>
      </c>
      <c r="I63" s="95">
        <v>70</v>
      </c>
      <c r="J63" s="95">
        <v>70</v>
      </c>
      <c r="K63" s="95">
        <v>70</v>
      </c>
      <c r="L63" s="95">
        <v>70</v>
      </c>
      <c r="M63" s="95">
        <v>70</v>
      </c>
      <c r="N63" s="95">
        <v>70</v>
      </c>
      <c r="O63" s="95">
        <f t="shared" si="1"/>
        <v>840</v>
      </c>
      <c r="P63" s="124"/>
      <c r="Q63" s="90">
        <v>1700</v>
      </c>
      <c r="R63" s="96">
        <f t="shared" si="0"/>
        <v>-0.50588235294117645</v>
      </c>
    </row>
    <row r="64" spans="1:23" hidden="1" x14ac:dyDescent="0.2">
      <c r="A64" s="93" t="s">
        <v>218</v>
      </c>
      <c r="B64" s="94"/>
      <c r="C64" s="95"/>
      <c r="D64" s="95"/>
      <c r="E64" s="95"/>
      <c r="F64" s="95"/>
      <c r="G64" s="95"/>
      <c r="H64" s="95"/>
      <c r="I64" s="95"/>
      <c r="J64" s="95"/>
      <c r="K64" s="95"/>
      <c r="L64" s="95"/>
      <c r="M64" s="95"/>
      <c r="N64" s="95"/>
      <c r="O64" s="95"/>
      <c r="P64" s="124"/>
      <c r="R64" s="96" t="e">
        <f t="shared" si="0"/>
        <v>#DIV/0!</v>
      </c>
    </row>
    <row r="65" spans="1:18" hidden="1" x14ac:dyDescent="0.2">
      <c r="A65" s="93" t="s">
        <v>219</v>
      </c>
      <c r="B65" s="94"/>
      <c r="C65" s="95"/>
      <c r="D65" s="95"/>
      <c r="E65" s="95"/>
      <c r="F65" s="95"/>
      <c r="G65" s="95"/>
      <c r="H65" s="95"/>
      <c r="I65" s="95"/>
      <c r="J65" s="95"/>
      <c r="K65" s="95"/>
      <c r="L65" s="95"/>
      <c r="M65" s="95"/>
      <c r="N65" s="95"/>
      <c r="O65" s="95"/>
      <c r="P65" s="124"/>
      <c r="R65" s="96" t="e">
        <f t="shared" si="0"/>
        <v>#DIV/0!</v>
      </c>
    </row>
    <row r="66" spans="1:18" hidden="1" x14ac:dyDescent="0.2">
      <c r="A66" s="93"/>
      <c r="B66" s="94" t="s">
        <v>117</v>
      </c>
      <c r="C66" s="95"/>
      <c r="D66" s="95"/>
      <c r="E66" s="95"/>
      <c r="F66" s="95"/>
      <c r="G66" s="95"/>
      <c r="H66" s="95"/>
      <c r="I66" s="95"/>
      <c r="J66" s="95"/>
      <c r="K66" s="95"/>
      <c r="L66" s="95"/>
      <c r="M66" s="95"/>
      <c r="N66" s="95"/>
      <c r="O66" s="95"/>
      <c r="P66" s="124"/>
      <c r="R66" s="96" t="e">
        <f t="shared" si="0"/>
        <v>#DIV/0!</v>
      </c>
    </row>
    <row r="67" spans="1:18" hidden="1" x14ac:dyDescent="0.2">
      <c r="A67" s="93"/>
      <c r="B67" s="94" t="s">
        <v>118</v>
      </c>
      <c r="C67" s="95"/>
      <c r="D67" s="95"/>
      <c r="E67" s="95"/>
      <c r="F67" s="95"/>
      <c r="G67" s="95"/>
      <c r="H67" s="95"/>
      <c r="I67" s="95"/>
      <c r="J67" s="95"/>
      <c r="K67" s="95"/>
      <c r="L67" s="95"/>
      <c r="M67" s="95"/>
      <c r="N67" s="95"/>
      <c r="O67" s="95"/>
      <c r="P67" s="124"/>
      <c r="R67" s="96" t="e">
        <f t="shared" si="0"/>
        <v>#DIV/0!</v>
      </c>
    </row>
    <row r="68" spans="1:18" hidden="1" x14ac:dyDescent="0.2">
      <c r="A68" s="93"/>
      <c r="B68" s="94" t="s">
        <v>119</v>
      </c>
      <c r="C68" s="95"/>
      <c r="D68" s="95"/>
      <c r="E68" s="95"/>
      <c r="F68" s="95"/>
      <c r="G68" s="95"/>
      <c r="H68" s="95"/>
      <c r="I68" s="95"/>
      <c r="J68" s="95"/>
      <c r="K68" s="95"/>
      <c r="L68" s="95"/>
      <c r="M68" s="95"/>
      <c r="N68" s="95"/>
      <c r="O68" s="95">
        <f>ROUNDUP(SUM(C68:N68),0)</f>
        <v>0</v>
      </c>
      <c r="P68" s="124"/>
      <c r="R68" s="96" t="e">
        <f t="shared" si="0"/>
        <v>#DIV/0!</v>
      </c>
    </row>
    <row r="69" spans="1:18" hidden="1" x14ac:dyDescent="0.2">
      <c r="A69" s="93"/>
      <c r="B69" s="94" t="s">
        <v>120</v>
      </c>
      <c r="C69" s="95"/>
      <c r="D69" s="95"/>
      <c r="E69" s="95"/>
      <c r="F69" s="95"/>
      <c r="G69" s="95"/>
      <c r="H69" s="95"/>
      <c r="I69" s="95"/>
      <c r="J69" s="95"/>
      <c r="K69" s="95"/>
      <c r="L69" s="95"/>
      <c r="M69" s="95"/>
      <c r="N69" s="95"/>
      <c r="O69" s="95">
        <f>ROUNDUP(SUM(C69:N69),0)</f>
        <v>0</v>
      </c>
      <c r="P69" s="124"/>
      <c r="R69" s="96" t="e">
        <f t="shared" si="0"/>
        <v>#DIV/0!</v>
      </c>
    </row>
    <row r="70" spans="1:18" hidden="1" x14ac:dyDescent="0.2">
      <c r="A70" s="93"/>
      <c r="B70" s="94" t="s">
        <v>121</v>
      </c>
      <c r="C70" s="95"/>
      <c r="D70" s="95"/>
      <c r="E70" s="95"/>
      <c r="F70" s="95"/>
      <c r="G70" s="95"/>
      <c r="H70" s="95"/>
      <c r="I70" s="95"/>
      <c r="J70" s="95"/>
      <c r="K70" s="95"/>
      <c r="L70" s="95"/>
      <c r="M70" s="95"/>
      <c r="N70" s="95"/>
      <c r="O70" s="95">
        <f>ROUNDUP(SUM(C70:N70),0)</f>
        <v>0</v>
      </c>
      <c r="P70" s="124"/>
      <c r="R70" s="96" t="e">
        <f t="shared" si="0"/>
        <v>#DIV/0!</v>
      </c>
    </row>
    <row r="71" spans="1:18" hidden="1" x14ac:dyDescent="0.2">
      <c r="A71" s="93"/>
      <c r="B71" s="94" t="s">
        <v>122</v>
      </c>
      <c r="C71" s="95"/>
      <c r="D71" s="95"/>
      <c r="E71" s="95"/>
      <c r="F71" s="95"/>
      <c r="G71" s="95"/>
      <c r="H71" s="95"/>
      <c r="I71" s="95"/>
      <c r="J71" s="95"/>
      <c r="K71" s="95"/>
      <c r="L71" s="95"/>
      <c r="M71" s="95"/>
      <c r="N71" s="95">
        <f>25000-25000</f>
        <v>0</v>
      </c>
      <c r="O71" s="95">
        <f>ROUNDUP(SUM(C71:N71),0)</f>
        <v>0</v>
      </c>
      <c r="P71" s="124"/>
      <c r="R71" s="96" t="e">
        <f>(O71-Q71)/Q71</f>
        <v>#DIV/0!</v>
      </c>
    </row>
    <row r="72" spans="1:18" hidden="1" x14ac:dyDescent="0.2">
      <c r="A72" s="93"/>
      <c r="B72" s="94" t="s">
        <v>123</v>
      </c>
      <c r="C72" s="95"/>
      <c r="D72" s="95"/>
      <c r="E72" s="95"/>
      <c r="F72" s="95"/>
      <c r="G72" s="95"/>
      <c r="H72" s="95"/>
      <c r="I72" s="95"/>
      <c r="J72" s="95"/>
      <c r="K72" s="95"/>
      <c r="L72" s="95"/>
      <c r="M72" s="95"/>
      <c r="N72" s="95"/>
      <c r="O72" s="95">
        <f>ROUNDUP(SUM(C72:N72),0)</f>
        <v>0</v>
      </c>
      <c r="P72" s="124"/>
      <c r="R72" s="96" t="e">
        <f>(O72-Q72)/Q72</f>
        <v>#DIV/0!</v>
      </c>
    </row>
    <row r="73" spans="1:18" x14ac:dyDescent="0.2">
      <c r="A73" s="93" t="s">
        <v>220</v>
      </c>
      <c r="B73" s="94" t="s">
        <v>221</v>
      </c>
      <c r="C73" s="95"/>
      <c r="D73" s="95"/>
      <c r="E73" s="95"/>
      <c r="F73" s="95"/>
      <c r="G73" s="95"/>
      <c r="H73" s="95"/>
      <c r="I73" s="95"/>
      <c r="J73" s="95"/>
      <c r="K73" s="95"/>
      <c r="L73" s="95"/>
      <c r="M73" s="95"/>
      <c r="N73" s="95">
        <f>100000</f>
        <v>100000</v>
      </c>
      <c r="O73" s="98">
        <f>ROUNDUP(SUM(C73:N73),0)-100000</f>
        <v>0</v>
      </c>
      <c r="P73" s="124"/>
      <c r="Q73" s="90">
        <v>100000</v>
      </c>
      <c r="R73" s="96">
        <f>(O73-Q73)/Q73</f>
        <v>-1</v>
      </c>
    </row>
    <row r="74" spans="1:18" x14ac:dyDescent="0.2">
      <c r="A74" s="93"/>
      <c r="B74" s="94" t="s">
        <v>222</v>
      </c>
      <c r="C74" s="95"/>
      <c r="D74" s="95"/>
      <c r="E74" s="95"/>
      <c r="F74" s="95"/>
      <c r="G74" s="95"/>
      <c r="H74" s="95"/>
      <c r="I74" s="95"/>
      <c r="J74" s="95"/>
      <c r="K74" s="95"/>
      <c r="L74" s="95"/>
      <c r="M74" s="95"/>
      <c r="N74" s="95"/>
      <c r="O74" s="99">
        <v>25000</v>
      </c>
      <c r="P74" s="124"/>
      <c r="R74" s="96"/>
    </row>
    <row r="75" spans="1:18" x14ac:dyDescent="0.2">
      <c r="A75" s="93"/>
      <c r="B75" s="100" t="s">
        <v>223</v>
      </c>
      <c r="C75" s="95">
        <v>20250</v>
      </c>
      <c r="D75" s="95">
        <v>20700</v>
      </c>
      <c r="E75" s="95">
        <v>21150</v>
      </c>
      <c r="F75" s="95">
        <v>21600</v>
      </c>
      <c r="G75" s="95">
        <v>22050</v>
      </c>
      <c r="H75" s="95">
        <v>22500</v>
      </c>
      <c r="I75" s="95">
        <v>22500</v>
      </c>
      <c r="J75" s="95">
        <v>22500</v>
      </c>
      <c r="K75" s="95">
        <v>22500</v>
      </c>
      <c r="L75" s="95">
        <v>24300</v>
      </c>
      <c r="M75" s="95">
        <v>24300</v>
      </c>
      <c r="N75" s="95">
        <v>24300</v>
      </c>
      <c r="O75" s="101">
        <f>SUM(C75:N75)</f>
        <v>268650</v>
      </c>
      <c r="P75" s="125"/>
      <c r="Q75" s="90">
        <v>218016</v>
      </c>
      <c r="R75" s="96">
        <f>(Q75-O75)/O75</f>
        <v>-0.18847571189279733</v>
      </c>
    </row>
    <row r="76" spans="1:18" x14ac:dyDescent="0.2">
      <c r="A76" s="93"/>
      <c r="B76" s="94" t="s">
        <v>125</v>
      </c>
      <c r="C76" s="95"/>
      <c r="D76" s="95"/>
      <c r="E76" s="95"/>
      <c r="F76" s="95"/>
      <c r="G76" s="95"/>
      <c r="H76" s="95"/>
      <c r="I76" s="95"/>
      <c r="J76" s="95"/>
      <c r="K76" s="95"/>
      <c r="L76" s="95"/>
      <c r="M76" s="95"/>
      <c r="N76" s="95"/>
      <c r="O76" s="98">
        <v>10000</v>
      </c>
      <c r="P76" s="124"/>
    </row>
    <row r="77" spans="1:18" x14ac:dyDescent="0.2">
      <c r="B77" s="102" t="s">
        <v>224</v>
      </c>
      <c r="C77" s="95">
        <f t="shared" ref="C77:N77" si="2">ROUNDUP(SUM(C5:C76),0)</f>
        <v>223257</v>
      </c>
      <c r="D77" s="95">
        <f t="shared" si="2"/>
        <v>239787</v>
      </c>
      <c r="E77" s="95">
        <f t="shared" si="2"/>
        <v>215917</v>
      </c>
      <c r="F77" s="95">
        <f t="shared" si="2"/>
        <v>201447</v>
      </c>
      <c r="G77" s="95">
        <f t="shared" si="2"/>
        <v>218012</v>
      </c>
      <c r="H77" s="95">
        <f t="shared" si="2"/>
        <v>308042</v>
      </c>
      <c r="I77" s="95">
        <f t="shared" si="2"/>
        <v>232887</v>
      </c>
      <c r="J77" s="95">
        <f t="shared" si="2"/>
        <v>225082</v>
      </c>
      <c r="K77" s="95">
        <f t="shared" si="2"/>
        <v>231952</v>
      </c>
      <c r="L77" s="95">
        <f t="shared" si="2"/>
        <v>217937</v>
      </c>
      <c r="M77" s="95">
        <f t="shared" si="2"/>
        <v>203487</v>
      </c>
      <c r="N77" s="95">
        <f t="shared" si="2"/>
        <v>658692</v>
      </c>
      <c r="O77" s="95">
        <f>(SUM(O5:O76))</f>
        <v>3076490</v>
      </c>
    </row>
    <row r="78" spans="1:18" x14ac:dyDescent="0.2">
      <c r="C78" s="91"/>
      <c r="D78" s="91"/>
      <c r="E78" s="91"/>
      <c r="F78" s="91"/>
      <c r="G78" s="91"/>
      <c r="H78" s="91"/>
      <c r="I78" s="91"/>
      <c r="J78" s="91"/>
      <c r="K78" s="91"/>
      <c r="L78" s="91"/>
      <c r="M78" s="91"/>
      <c r="N78" s="91"/>
      <c r="O78" s="91"/>
    </row>
    <row r="79" spans="1:18" x14ac:dyDescent="0.2">
      <c r="C79" s="91"/>
      <c r="D79" s="91"/>
      <c r="E79" s="91"/>
      <c r="F79" s="91"/>
      <c r="G79" s="91"/>
      <c r="H79" s="91"/>
      <c r="I79" s="91"/>
      <c r="J79" s="91"/>
      <c r="K79" s="91"/>
      <c r="L79" s="91"/>
      <c r="M79" s="91"/>
      <c r="N79" s="91"/>
      <c r="O79" s="91"/>
      <c r="Q79" s="90" t="s">
        <v>203</v>
      </c>
      <c r="R79" s="89" t="s">
        <v>204</v>
      </c>
    </row>
    <row r="80" spans="1:18" x14ac:dyDescent="0.2">
      <c r="A80" s="103">
        <v>7310</v>
      </c>
      <c r="B80" s="104" t="s">
        <v>126</v>
      </c>
      <c r="C80" s="95">
        <v>0</v>
      </c>
      <c r="D80" s="95">
        <v>0</v>
      </c>
      <c r="E80" s="95">
        <v>0</v>
      </c>
      <c r="F80" s="95">
        <v>0</v>
      </c>
      <c r="G80" s="95">
        <v>0</v>
      </c>
      <c r="H80" s="95">
        <v>12000</v>
      </c>
      <c r="I80" s="95">
        <v>0</v>
      </c>
      <c r="J80" s="95">
        <v>0</v>
      </c>
      <c r="K80" s="95">
        <v>0</v>
      </c>
      <c r="L80" s="95">
        <v>0</v>
      </c>
      <c r="M80" s="95">
        <v>0</v>
      </c>
      <c r="N80" s="95">
        <v>0</v>
      </c>
      <c r="O80" s="95">
        <f>SUM(C80:N80)</f>
        <v>12000</v>
      </c>
      <c r="Q80" s="90">
        <v>12000</v>
      </c>
      <c r="R80" s="96">
        <f>(Q80-O80)/O80</f>
        <v>0</v>
      </c>
    </row>
    <row r="81" spans="1:18" x14ac:dyDescent="0.2">
      <c r="A81" s="103">
        <v>8386</v>
      </c>
      <c r="B81" s="105" t="s">
        <v>225</v>
      </c>
      <c r="C81" s="95">
        <v>6500</v>
      </c>
      <c r="D81" s="95">
        <v>14000</v>
      </c>
      <c r="E81" s="95">
        <v>8375</v>
      </c>
      <c r="F81" s="95">
        <v>6500</v>
      </c>
      <c r="G81" s="95">
        <v>6500</v>
      </c>
      <c r="H81" s="95">
        <v>8375</v>
      </c>
      <c r="I81" s="95">
        <v>6500</v>
      </c>
      <c r="J81" s="95">
        <v>14000</v>
      </c>
      <c r="K81" s="95">
        <v>8375</v>
      </c>
      <c r="L81" s="95">
        <v>6500</v>
      </c>
      <c r="M81" s="95">
        <v>6500</v>
      </c>
      <c r="N81" s="95">
        <v>8375</v>
      </c>
      <c r="O81" s="99">
        <f>SUM(C81:N81)-7500</f>
        <v>93000</v>
      </c>
      <c r="Q81" s="90">
        <v>91500</v>
      </c>
      <c r="R81" s="106">
        <f>(O81-Q81)/Q81</f>
        <v>1.6393442622950821E-2</v>
      </c>
    </row>
    <row r="82" spans="1:18" x14ac:dyDescent="0.2">
      <c r="A82" s="103" t="s">
        <v>226</v>
      </c>
      <c r="B82" s="105" t="s">
        <v>129</v>
      </c>
      <c r="C82" s="95">
        <v>240</v>
      </c>
      <c r="D82" s="95">
        <v>0</v>
      </c>
      <c r="E82" s="95">
        <v>0</v>
      </c>
      <c r="F82" s="95">
        <v>0</v>
      </c>
      <c r="G82" s="95">
        <v>90</v>
      </c>
      <c r="H82" s="95">
        <v>40</v>
      </c>
      <c r="I82" s="95">
        <v>0</v>
      </c>
      <c r="J82" s="95">
        <v>0</v>
      </c>
      <c r="K82" s="95">
        <v>90</v>
      </c>
      <c r="L82" s="95">
        <v>0</v>
      </c>
      <c r="M82" s="95">
        <v>0</v>
      </c>
      <c r="N82" s="95">
        <v>0</v>
      </c>
      <c r="O82" s="95">
        <f t="shared" ref="O82:O143" si="3">SUM(C82:N82)</f>
        <v>460</v>
      </c>
      <c r="Q82" s="90">
        <v>376</v>
      </c>
      <c r="R82" s="106">
        <f t="shared" ref="R82:R145" si="4">(O82-Q82)/Q82</f>
        <v>0.22340425531914893</v>
      </c>
    </row>
    <row r="83" spans="1:18" x14ac:dyDescent="0.2">
      <c r="A83" s="103">
        <v>5315</v>
      </c>
      <c r="B83" s="105" t="s">
        <v>130</v>
      </c>
      <c r="C83" s="95">
        <v>2860</v>
      </c>
      <c r="D83" s="95">
        <v>2893</v>
      </c>
      <c r="E83" s="95">
        <v>3110</v>
      </c>
      <c r="F83" s="95">
        <v>2893</v>
      </c>
      <c r="G83" s="95">
        <v>3360</v>
      </c>
      <c r="H83" s="95">
        <v>3693</v>
      </c>
      <c r="I83" s="95">
        <v>2893</v>
      </c>
      <c r="J83" s="95">
        <v>2860</v>
      </c>
      <c r="K83" s="95">
        <v>2860</v>
      </c>
      <c r="L83" s="95">
        <v>2860</v>
      </c>
      <c r="M83" s="95">
        <v>2860</v>
      </c>
      <c r="N83" s="95">
        <v>2893</v>
      </c>
      <c r="O83" s="99">
        <f>SUM(C83:N83)-1035</f>
        <v>35000</v>
      </c>
      <c r="Q83" s="90">
        <v>23760</v>
      </c>
      <c r="R83" s="107">
        <f t="shared" si="4"/>
        <v>0.47306397306397308</v>
      </c>
    </row>
    <row r="84" spans="1:18" hidden="1" x14ac:dyDescent="0.2">
      <c r="A84" s="103">
        <v>5424</v>
      </c>
      <c r="B84" s="108" t="s">
        <v>131</v>
      </c>
      <c r="C84" s="95"/>
      <c r="D84" s="95"/>
      <c r="E84" s="95"/>
      <c r="F84" s="95"/>
      <c r="G84" s="95"/>
      <c r="H84" s="95"/>
      <c r="I84" s="95"/>
      <c r="J84" s="95"/>
      <c r="K84" s="95"/>
      <c r="L84" s="95"/>
      <c r="M84" s="95"/>
      <c r="N84" s="95"/>
      <c r="O84" s="95">
        <f t="shared" si="3"/>
        <v>0</v>
      </c>
      <c r="R84" s="107" t="e">
        <f t="shared" si="4"/>
        <v>#DIV/0!</v>
      </c>
    </row>
    <row r="85" spans="1:18" x14ac:dyDescent="0.2">
      <c r="A85" s="103">
        <v>7356</v>
      </c>
      <c r="B85" s="105" t="s">
        <v>132</v>
      </c>
      <c r="C85" s="95">
        <v>400</v>
      </c>
      <c r="D85" s="95">
        <v>40</v>
      </c>
      <c r="E85" s="95">
        <v>135</v>
      </c>
      <c r="F85" s="95">
        <v>0</v>
      </c>
      <c r="G85" s="95">
        <v>0</v>
      </c>
      <c r="H85" s="95">
        <v>535</v>
      </c>
      <c r="I85" s="95">
        <v>0</v>
      </c>
      <c r="J85" s="95">
        <v>40</v>
      </c>
      <c r="K85" s="95">
        <v>1500</v>
      </c>
      <c r="L85" s="95">
        <v>50</v>
      </c>
      <c r="M85" s="95">
        <v>0</v>
      </c>
      <c r="N85" s="95">
        <v>100</v>
      </c>
      <c r="O85" s="99">
        <f>SUM(C85:N85)-800</f>
        <v>2000</v>
      </c>
      <c r="Q85" s="90">
        <v>1100</v>
      </c>
      <c r="R85" s="107">
        <f t="shared" si="4"/>
        <v>0.81818181818181823</v>
      </c>
    </row>
    <row r="86" spans="1:18" x14ac:dyDescent="0.2">
      <c r="A86" s="103">
        <v>5105</v>
      </c>
      <c r="B86" s="105" t="s">
        <v>133</v>
      </c>
      <c r="C86" s="95">
        <v>1937.5</v>
      </c>
      <c r="D86" s="95">
        <v>1937.5</v>
      </c>
      <c r="E86" s="95">
        <v>1937.5</v>
      </c>
      <c r="F86" s="95">
        <v>1937.5</v>
      </c>
      <c r="G86" s="95">
        <v>1115.6875</v>
      </c>
      <c r="H86" s="95">
        <v>1115.6875</v>
      </c>
      <c r="I86" s="95">
        <v>1115.6875</v>
      </c>
      <c r="J86" s="95">
        <v>1115.6875</v>
      </c>
      <c r="K86" s="95">
        <v>1115.6875</v>
      </c>
      <c r="L86" s="95">
        <v>1115.6875</v>
      </c>
      <c r="M86" s="95">
        <v>1115.6875</v>
      </c>
      <c r="N86" s="95">
        <v>1615.6875</v>
      </c>
      <c r="O86" s="95">
        <f t="shared" si="3"/>
        <v>17175.5</v>
      </c>
      <c r="Q86" s="90">
        <v>11042</v>
      </c>
      <c r="R86" s="107">
        <f t="shared" si="4"/>
        <v>0.55547002354645902</v>
      </c>
    </row>
    <row r="87" spans="1:18" hidden="1" x14ac:dyDescent="0.2">
      <c r="A87" s="103">
        <v>5426</v>
      </c>
      <c r="B87" s="108" t="s">
        <v>134</v>
      </c>
      <c r="C87" s="95"/>
      <c r="D87" s="95"/>
      <c r="E87" s="95"/>
      <c r="F87" s="95"/>
      <c r="G87" s="95"/>
      <c r="H87" s="95"/>
      <c r="I87" s="95"/>
      <c r="J87" s="95"/>
      <c r="K87" s="95"/>
      <c r="L87" s="95"/>
      <c r="M87" s="95"/>
      <c r="N87" s="95"/>
      <c r="O87" s="95">
        <f t="shared" si="3"/>
        <v>0</v>
      </c>
      <c r="R87" s="107" t="e">
        <f t="shared" si="4"/>
        <v>#DIV/0!</v>
      </c>
    </row>
    <row r="88" spans="1:18" x14ac:dyDescent="0.2">
      <c r="A88" s="103">
        <v>5361</v>
      </c>
      <c r="B88" s="105" t="s">
        <v>135</v>
      </c>
      <c r="C88" s="95">
        <v>750</v>
      </c>
      <c r="D88" s="95">
        <v>750</v>
      </c>
      <c r="E88" s="95">
        <v>750</v>
      </c>
      <c r="F88" s="95">
        <v>750</v>
      </c>
      <c r="G88" s="95">
        <v>750</v>
      </c>
      <c r="H88" s="95">
        <v>750</v>
      </c>
      <c r="I88" s="95">
        <v>750</v>
      </c>
      <c r="J88" s="95">
        <v>750</v>
      </c>
      <c r="K88" s="95">
        <v>750</v>
      </c>
      <c r="L88" s="95">
        <v>750</v>
      </c>
      <c r="M88" s="95">
        <v>750</v>
      </c>
      <c r="N88" s="95">
        <v>750</v>
      </c>
      <c r="O88" s="98">
        <f>SUM(C88:N88)-1000</f>
        <v>8000</v>
      </c>
      <c r="Q88" s="90">
        <v>10500</v>
      </c>
      <c r="R88" s="107">
        <f t="shared" si="4"/>
        <v>-0.23809523809523808</v>
      </c>
    </row>
    <row r="89" spans="1:18" hidden="1" x14ac:dyDescent="0.2">
      <c r="A89" s="109" t="s">
        <v>227</v>
      </c>
      <c r="B89" s="110" t="s">
        <v>136</v>
      </c>
      <c r="C89" s="95"/>
      <c r="D89" s="95"/>
      <c r="E89" s="95"/>
      <c r="F89" s="95"/>
      <c r="G89" s="95"/>
      <c r="H89" s="95"/>
      <c r="I89" s="95"/>
      <c r="J89" s="95"/>
      <c r="K89" s="95"/>
      <c r="L89" s="95"/>
      <c r="M89" s="95"/>
      <c r="N89" s="95"/>
      <c r="O89" s="95">
        <f t="shared" si="3"/>
        <v>0</v>
      </c>
      <c r="R89" s="107" t="e">
        <f t="shared" si="4"/>
        <v>#DIV/0!</v>
      </c>
    </row>
    <row r="90" spans="1:18" x14ac:dyDescent="0.2">
      <c r="A90" s="103">
        <v>5204</v>
      </c>
      <c r="B90" s="105" t="s">
        <v>137</v>
      </c>
      <c r="C90" s="95">
        <v>0</v>
      </c>
      <c r="D90" s="95">
        <v>1500</v>
      </c>
      <c r="E90" s="95">
        <v>1500</v>
      </c>
      <c r="F90" s="95">
        <v>1500</v>
      </c>
      <c r="G90" s="95">
        <v>0</v>
      </c>
      <c r="H90" s="95">
        <v>1500</v>
      </c>
      <c r="I90" s="95">
        <v>0</v>
      </c>
      <c r="J90" s="95">
        <v>0</v>
      </c>
      <c r="K90" s="95">
        <v>200</v>
      </c>
      <c r="L90" s="95">
        <v>3200</v>
      </c>
      <c r="M90" s="95">
        <v>3200</v>
      </c>
      <c r="N90" s="95">
        <v>1800</v>
      </c>
      <c r="O90" s="95">
        <f t="shared" si="3"/>
        <v>14400</v>
      </c>
      <c r="Q90" s="90">
        <v>12660</v>
      </c>
      <c r="R90" s="107">
        <f t="shared" si="4"/>
        <v>0.13744075829383887</v>
      </c>
    </row>
    <row r="91" spans="1:18" hidden="1" x14ac:dyDescent="0.2">
      <c r="A91" s="103">
        <v>5216</v>
      </c>
      <c r="B91" s="105" t="s">
        <v>138</v>
      </c>
      <c r="C91" s="95">
        <v>0</v>
      </c>
      <c r="D91" s="95">
        <v>0</v>
      </c>
      <c r="E91" s="95">
        <v>0</v>
      </c>
      <c r="F91" s="95">
        <v>0</v>
      </c>
      <c r="G91" s="95">
        <v>0</v>
      </c>
      <c r="H91" s="95">
        <v>0</v>
      </c>
      <c r="I91" s="95">
        <v>0</v>
      </c>
      <c r="J91" s="95">
        <v>0</v>
      </c>
      <c r="K91" s="95">
        <v>0</v>
      </c>
      <c r="L91" s="95">
        <v>0</v>
      </c>
      <c r="M91" s="95">
        <v>0</v>
      </c>
      <c r="N91" s="95">
        <v>0</v>
      </c>
      <c r="O91" s="95">
        <f t="shared" si="3"/>
        <v>0</v>
      </c>
      <c r="R91" s="107" t="e">
        <f t="shared" si="4"/>
        <v>#DIV/0!</v>
      </c>
    </row>
    <row r="92" spans="1:18" x14ac:dyDescent="0.2">
      <c r="A92" s="103">
        <v>5400</v>
      </c>
      <c r="B92" s="105" t="s">
        <v>139</v>
      </c>
      <c r="C92" s="95">
        <v>2837.9000000000005</v>
      </c>
      <c r="D92" s="95">
        <v>1435.15</v>
      </c>
      <c r="E92" s="95">
        <v>3023.15</v>
      </c>
      <c r="F92" s="95">
        <v>3290.1500000000005</v>
      </c>
      <c r="G92" s="95">
        <v>4584.1500000000005</v>
      </c>
      <c r="H92" s="95">
        <v>4555.1499999999996</v>
      </c>
      <c r="I92" s="95">
        <v>2800.15</v>
      </c>
      <c r="J92" s="95">
        <v>1220.1500000000001</v>
      </c>
      <c r="K92" s="95">
        <v>23368.714</v>
      </c>
      <c r="L92" s="95">
        <v>2435.1500000000005</v>
      </c>
      <c r="M92" s="95">
        <v>1185.1500000000001</v>
      </c>
      <c r="N92" s="95">
        <v>4170.1499999999996</v>
      </c>
      <c r="O92" s="98">
        <f>SUM(C92:N92)-5000-20000</f>
        <v>29905.114000000009</v>
      </c>
      <c r="Q92" s="90">
        <v>24304</v>
      </c>
      <c r="R92" s="107">
        <f t="shared" si="4"/>
        <v>0.23046058262014518</v>
      </c>
    </row>
    <row r="93" spans="1:18" x14ac:dyDescent="0.2">
      <c r="A93" s="103">
        <v>5571</v>
      </c>
      <c r="B93" s="105" t="s">
        <v>140</v>
      </c>
      <c r="C93" s="95">
        <v>3000</v>
      </c>
      <c r="D93" s="95">
        <v>3000</v>
      </c>
      <c r="E93" s="95">
        <v>3000</v>
      </c>
      <c r="F93" s="95">
        <v>2000</v>
      </c>
      <c r="G93" s="95">
        <v>2000</v>
      </c>
      <c r="H93" s="95">
        <v>2000</v>
      </c>
      <c r="I93" s="95">
        <v>2000</v>
      </c>
      <c r="J93" s="95">
        <v>2000</v>
      </c>
      <c r="K93" s="95">
        <v>2000</v>
      </c>
      <c r="L93" s="95">
        <v>3000</v>
      </c>
      <c r="M93" s="95">
        <v>3000</v>
      </c>
      <c r="N93" s="95">
        <v>3000</v>
      </c>
      <c r="O93" s="95">
        <f>SUM(C93:N93)</f>
        <v>30000</v>
      </c>
      <c r="Q93" s="90">
        <v>33600</v>
      </c>
      <c r="R93" s="107">
        <f t="shared" si="4"/>
        <v>-0.10714285714285714</v>
      </c>
    </row>
    <row r="94" spans="1:18" x14ac:dyDescent="0.2">
      <c r="A94" s="103">
        <v>5118</v>
      </c>
      <c r="B94" s="105" t="s">
        <v>141</v>
      </c>
      <c r="C94" s="95">
        <v>240</v>
      </c>
      <c r="D94" s="95">
        <v>240</v>
      </c>
      <c r="E94" s="95">
        <v>240</v>
      </c>
      <c r="F94" s="95">
        <v>240</v>
      </c>
      <c r="G94" s="95">
        <v>240</v>
      </c>
      <c r="H94" s="95">
        <v>965</v>
      </c>
      <c r="I94" s="95">
        <v>240</v>
      </c>
      <c r="J94" s="95">
        <v>240</v>
      </c>
      <c r="K94" s="95">
        <v>240</v>
      </c>
      <c r="L94" s="95">
        <v>240</v>
      </c>
      <c r="M94" s="95">
        <v>240</v>
      </c>
      <c r="N94" s="95">
        <v>240</v>
      </c>
      <c r="O94" s="99">
        <f>SUM(C94:N94)-605</f>
        <v>3000</v>
      </c>
      <c r="Q94" s="90">
        <v>1000</v>
      </c>
      <c r="R94" s="107">
        <f t="shared" si="4"/>
        <v>2</v>
      </c>
    </row>
    <row r="95" spans="1:18" hidden="1" x14ac:dyDescent="0.2">
      <c r="A95" s="103">
        <v>5100</v>
      </c>
      <c r="B95" s="108" t="s">
        <v>142</v>
      </c>
      <c r="C95" s="95"/>
      <c r="D95" s="95"/>
      <c r="E95" s="95"/>
      <c r="F95" s="95"/>
      <c r="G95" s="95"/>
      <c r="H95" s="95"/>
      <c r="I95" s="95"/>
      <c r="J95" s="95"/>
      <c r="K95" s="95"/>
      <c r="L95" s="95"/>
      <c r="M95" s="95"/>
      <c r="N95" s="95"/>
      <c r="O95" s="95">
        <f t="shared" si="3"/>
        <v>0</v>
      </c>
      <c r="R95" s="107" t="e">
        <f t="shared" si="4"/>
        <v>#DIV/0!</v>
      </c>
    </row>
    <row r="96" spans="1:18" hidden="1" x14ac:dyDescent="0.2">
      <c r="A96" s="103">
        <v>5425</v>
      </c>
      <c r="B96" s="108" t="s">
        <v>143</v>
      </c>
      <c r="C96" s="95"/>
      <c r="D96" s="95"/>
      <c r="E96" s="95"/>
      <c r="F96" s="95"/>
      <c r="G96" s="95"/>
      <c r="H96" s="95"/>
      <c r="I96" s="95"/>
      <c r="J96" s="95"/>
      <c r="K96" s="95"/>
      <c r="L96" s="95"/>
      <c r="M96" s="95"/>
      <c r="N96" s="95"/>
      <c r="O96" s="95">
        <f t="shared" si="3"/>
        <v>0</v>
      </c>
      <c r="R96" s="107" t="e">
        <f t="shared" si="4"/>
        <v>#DIV/0!</v>
      </c>
    </row>
    <row r="97" spans="1:18" hidden="1" x14ac:dyDescent="0.2">
      <c r="A97" s="103">
        <v>5102</v>
      </c>
      <c r="B97" s="108" t="s">
        <v>144</v>
      </c>
      <c r="C97" s="95"/>
      <c r="D97" s="95"/>
      <c r="E97" s="95"/>
      <c r="F97" s="95"/>
      <c r="G97" s="95"/>
      <c r="H97" s="95"/>
      <c r="I97" s="95"/>
      <c r="J97" s="95"/>
      <c r="K97" s="95"/>
      <c r="L97" s="95"/>
      <c r="M97" s="95"/>
      <c r="N97" s="95"/>
      <c r="O97" s="95">
        <f t="shared" si="3"/>
        <v>0</v>
      </c>
      <c r="R97" s="107" t="e">
        <f t="shared" si="4"/>
        <v>#DIV/0!</v>
      </c>
    </row>
    <row r="98" spans="1:18" hidden="1" x14ac:dyDescent="0.2">
      <c r="A98" s="103">
        <v>5570</v>
      </c>
      <c r="B98" s="105" t="s">
        <v>145</v>
      </c>
      <c r="C98" s="95"/>
      <c r="D98" s="95"/>
      <c r="E98" s="95"/>
      <c r="F98" s="95"/>
      <c r="G98" s="95"/>
      <c r="H98" s="95"/>
      <c r="I98" s="95"/>
      <c r="J98" s="95"/>
      <c r="K98" s="95"/>
      <c r="L98" s="95"/>
      <c r="M98" s="95"/>
      <c r="N98" s="95"/>
      <c r="O98" s="95">
        <f t="shared" si="3"/>
        <v>0</v>
      </c>
      <c r="R98" s="107" t="e">
        <f t="shared" si="4"/>
        <v>#DIV/0!</v>
      </c>
    </row>
    <row r="99" spans="1:18" x14ac:dyDescent="0.2">
      <c r="A99" s="103">
        <v>5123</v>
      </c>
      <c r="B99" s="105" t="s">
        <v>146</v>
      </c>
      <c r="C99" s="95">
        <v>0</v>
      </c>
      <c r="D99" s="95">
        <v>0</v>
      </c>
      <c r="E99" s="95">
        <v>3750</v>
      </c>
      <c r="F99" s="95">
        <v>0</v>
      </c>
      <c r="G99" s="95">
        <v>0</v>
      </c>
      <c r="H99" s="95">
        <v>3750</v>
      </c>
      <c r="I99" s="95">
        <v>0</v>
      </c>
      <c r="J99" s="95">
        <v>0</v>
      </c>
      <c r="K99" s="95">
        <v>3750</v>
      </c>
      <c r="L99" s="95">
        <v>0</v>
      </c>
      <c r="M99" s="95">
        <v>0</v>
      </c>
      <c r="N99" s="95">
        <v>3750</v>
      </c>
      <c r="O99" s="95">
        <f t="shared" si="3"/>
        <v>15000</v>
      </c>
      <c r="Q99" s="90">
        <v>17500</v>
      </c>
      <c r="R99" s="107">
        <f t="shared" si="4"/>
        <v>-0.14285714285714285</v>
      </c>
    </row>
    <row r="100" spans="1:18" x14ac:dyDescent="0.2">
      <c r="A100" s="103">
        <v>5206</v>
      </c>
      <c r="B100" s="105" t="s">
        <v>147</v>
      </c>
      <c r="C100" s="95">
        <v>35</v>
      </c>
      <c r="D100" s="95">
        <v>35</v>
      </c>
      <c r="E100" s="95">
        <v>1085</v>
      </c>
      <c r="F100" s="95">
        <v>0</v>
      </c>
      <c r="G100" s="95">
        <v>35</v>
      </c>
      <c r="H100" s="95">
        <v>0</v>
      </c>
      <c r="I100" s="95">
        <v>1050</v>
      </c>
      <c r="J100" s="95">
        <v>0</v>
      </c>
      <c r="K100" s="95">
        <v>0</v>
      </c>
      <c r="L100" s="95">
        <v>105</v>
      </c>
      <c r="M100" s="95">
        <v>1120</v>
      </c>
      <c r="N100" s="95">
        <v>70</v>
      </c>
      <c r="O100" s="95">
        <f t="shared" si="3"/>
        <v>3535</v>
      </c>
      <c r="Q100" s="90">
        <v>1630</v>
      </c>
      <c r="R100" s="107">
        <f t="shared" si="4"/>
        <v>1.1687116564417177</v>
      </c>
    </row>
    <row r="101" spans="1:18" x14ac:dyDescent="0.2">
      <c r="A101" s="103">
        <v>5210</v>
      </c>
      <c r="B101" s="105" t="s">
        <v>148</v>
      </c>
      <c r="C101" s="95">
        <v>0</v>
      </c>
      <c r="D101" s="95">
        <v>50</v>
      </c>
      <c r="E101" s="95">
        <v>140</v>
      </c>
      <c r="F101" s="95">
        <v>0</v>
      </c>
      <c r="G101" s="95">
        <v>0</v>
      </c>
      <c r="H101" s="95">
        <v>25</v>
      </c>
      <c r="I101" s="95">
        <v>40</v>
      </c>
      <c r="J101" s="95">
        <v>0</v>
      </c>
      <c r="K101" s="95">
        <v>25</v>
      </c>
      <c r="L101" s="95">
        <v>25</v>
      </c>
      <c r="M101" s="95">
        <v>90</v>
      </c>
      <c r="N101" s="95">
        <v>50</v>
      </c>
      <c r="O101" s="95">
        <f t="shared" si="3"/>
        <v>445</v>
      </c>
      <c r="Q101" s="90">
        <v>800</v>
      </c>
      <c r="R101" s="107">
        <f t="shared" si="4"/>
        <v>-0.44374999999999998</v>
      </c>
    </row>
    <row r="102" spans="1:18" x14ac:dyDescent="0.2">
      <c r="A102" s="103">
        <v>5325</v>
      </c>
      <c r="B102" s="105" t="s">
        <v>149</v>
      </c>
      <c r="C102" s="95">
        <v>19794.650000000001</v>
      </c>
      <c r="D102" s="95">
        <v>1043.75</v>
      </c>
      <c r="E102" s="95">
        <v>855</v>
      </c>
      <c r="F102" s="95">
        <v>237.5</v>
      </c>
      <c r="G102" s="95">
        <v>559.26</v>
      </c>
      <c r="H102" s="95">
        <v>872.99</v>
      </c>
      <c r="I102" s="95">
        <v>739.25</v>
      </c>
      <c r="J102" s="95">
        <v>20</v>
      </c>
      <c r="K102" s="95">
        <v>365</v>
      </c>
      <c r="L102" s="95">
        <v>272.5</v>
      </c>
      <c r="M102" s="95">
        <v>1120</v>
      </c>
      <c r="N102" s="95">
        <v>365</v>
      </c>
      <c r="O102" s="95">
        <f t="shared" si="3"/>
        <v>26244.9</v>
      </c>
      <c r="Q102" s="90">
        <v>20995</v>
      </c>
      <c r="R102" s="107">
        <f t="shared" si="4"/>
        <v>0.25005477494641587</v>
      </c>
    </row>
    <row r="103" spans="1:18" x14ac:dyDescent="0.2">
      <c r="A103" s="103" t="s">
        <v>228</v>
      </c>
      <c r="B103" s="105" t="s">
        <v>150</v>
      </c>
      <c r="C103" s="95">
        <v>9672.9033333333336</v>
      </c>
      <c r="D103" s="95">
        <v>9672.9033333333336</v>
      </c>
      <c r="E103" s="95">
        <v>9672.9033333333336</v>
      </c>
      <c r="F103" s="95">
        <v>9672.9033333333336</v>
      </c>
      <c r="G103" s="95">
        <v>9672.9033333333336</v>
      </c>
      <c r="H103" s="95">
        <v>9672.9033333333336</v>
      </c>
      <c r="I103" s="95">
        <v>9672.9033333333336</v>
      </c>
      <c r="J103" s="95">
        <v>9672.9033333333336</v>
      </c>
      <c r="K103" s="95">
        <v>9672.9033333333336</v>
      </c>
      <c r="L103" s="95">
        <v>9672.9033333333336</v>
      </c>
      <c r="M103" s="95">
        <v>9672.9033333333336</v>
      </c>
      <c r="N103" s="95">
        <v>9672.9033333333336</v>
      </c>
      <c r="O103" s="97">
        <f>SUM(C103:N103)-3437.84-3660+3660</f>
        <v>112637.00000000001</v>
      </c>
      <c r="Q103" s="90">
        <v>113946</v>
      </c>
      <c r="R103" s="107">
        <f t="shared" si="4"/>
        <v>-1.1487897776139447E-2</v>
      </c>
    </row>
    <row r="104" spans="1:18" x14ac:dyDescent="0.2">
      <c r="A104" s="103" t="s">
        <v>228</v>
      </c>
      <c r="B104" s="105" t="s">
        <v>151</v>
      </c>
      <c r="C104" s="95">
        <v>2431.0633333333335</v>
      </c>
      <c r="D104" s="95">
        <v>2431.0633333333335</v>
      </c>
      <c r="E104" s="95">
        <v>2431.0633333333335</v>
      </c>
      <c r="F104" s="95">
        <v>2431.0633333333335</v>
      </c>
      <c r="G104" s="95">
        <v>2431.0633333333335</v>
      </c>
      <c r="H104" s="95">
        <v>2431.0633333333335</v>
      </c>
      <c r="I104" s="95">
        <v>2431.0633333333335</v>
      </c>
      <c r="J104" s="95">
        <v>2431.0633333333335</v>
      </c>
      <c r="K104" s="95">
        <v>2431.0633333333335</v>
      </c>
      <c r="L104" s="95">
        <v>2431.0633333333335</v>
      </c>
      <c r="M104" s="95">
        <v>2431.0633333333335</v>
      </c>
      <c r="N104" s="95">
        <v>2431.0633333333335</v>
      </c>
      <c r="O104" s="97">
        <f>SUM(C104:N104)+1420.24-1355+1355</f>
        <v>30592.999999999996</v>
      </c>
      <c r="Q104" s="90">
        <v>19010</v>
      </c>
      <c r="R104" s="107">
        <f t="shared" si="4"/>
        <v>0.60931088900578623</v>
      </c>
    </row>
    <row r="105" spans="1:18" x14ac:dyDescent="0.2">
      <c r="A105" s="103">
        <v>5373</v>
      </c>
      <c r="B105" s="105" t="s">
        <v>152</v>
      </c>
      <c r="C105" s="95">
        <v>666.66666666666663</v>
      </c>
      <c r="D105" s="95">
        <v>666.66666666666663</v>
      </c>
      <c r="E105" s="95">
        <v>666.66666666666663</v>
      </c>
      <c r="F105" s="95">
        <v>666.66666666666663</v>
      </c>
      <c r="G105" s="95">
        <v>666.66666666666663</v>
      </c>
      <c r="H105" s="95">
        <v>666.66666666666663</v>
      </c>
      <c r="I105" s="95">
        <v>666.66666666666663</v>
      </c>
      <c r="J105" s="95">
        <v>666.66666666666663</v>
      </c>
      <c r="K105" s="95">
        <v>666.66666666666663</v>
      </c>
      <c r="L105" s="95">
        <v>666.66666666666663</v>
      </c>
      <c r="M105" s="95">
        <v>666.66666666666663</v>
      </c>
      <c r="N105" s="95">
        <v>666.66666666666663</v>
      </c>
      <c r="O105" s="95">
        <f t="shared" si="3"/>
        <v>8000.0000000000009</v>
      </c>
      <c r="Q105" s="90">
        <v>10000</v>
      </c>
      <c r="R105" s="107">
        <f t="shared" si="4"/>
        <v>-0.1999999999999999</v>
      </c>
    </row>
    <row r="106" spans="1:18" hidden="1" x14ac:dyDescent="0.2">
      <c r="A106" s="103">
        <v>5212</v>
      </c>
      <c r="B106" s="108" t="s">
        <v>153</v>
      </c>
      <c r="C106" s="95"/>
      <c r="D106" s="95"/>
      <c r="E106" s="95"/>
      <c r="F106" s="95"/>
      <c r="G106" s="95"/>
      <c r="H106" s="95"/>
      <c r="I106" s="95"/>
      <c r="J106" s="95"/>
      <c r="K106" s="95"/>
      <c r="L106" s="95"/>
      <c r="M106" s="95"/>
      <c r="N106" s="95"/>
      <c r="O106" s="95">
        <f t="shared" si="3"/>
        <v>0</v>
      </c>
      <c r="R106" s="107" t="e">
        <f t="shared" si="4"/>
        <v>#DIV/0!</v>
      </c>
    </row>
    <row r="107" spans="1:18" x14ac:dyDescent="0.2">
      <c r="A107" s="103" t="s">
        <v>229</v>
      </c>
      <c r="B107" s="105" t="s">
        <v>154</v>
      </c>
      <c r="C107" s="95">
        <v>1197</v>
      </c>
      <c r="D107" s="95">
        <v>1197</v>
      </c>
      <c r="E107" s="95">
        <v>1197</v>
      </c>
      <c r="F107" s="95">
        <v>1197</v>
      </c>
      <c r="G107" s="95">
        <v>1197</v>
      </c>
      <c r="H107" s="95">
        <v>1197</v>
      </c>
      <c r="I107" s="95">
        <v>1197</v>
      </c>
      <c r="J107" s="95">
        <v>1197</v>
      </c>
      <c r="K107" s="95">
        <v>1197</v>
      </c>
      <c r="L107" s="95">
        <v>1197</v>
      </c>
      <c r="M107" s="95">
        <v>1197</v>
      </c>
      <c r="N107" s="95">
        <v>1197</v>
      </c>
      <c r="O107" s="95">
        <f t="shared" si="3"/>
        <v>14364</v>
      </c>
      <c r="Q107" s="90">
        <v>10050</v>
      </c>
      <c r="R107" s="107">
        <f t="shared" si="4"/>
        <v>0.4292537313432836</v>
      </c>
    </row>
    <row r="108" spans="1:18" x14ac:dyDescent="0.2">
      <c r="A108" s="103">
        <v>8300</v>
      </c>
      <c r="B108" s="105" t="s">
        <v>155</v>
      </c>
      <c r="C108" s="95">
        <v>4075</v>
      </c>
      <c r="D108" s="95">
        <v>225</v>
      </c>
      <c r="E108" s="95">
        <v>375</v>
      </c>
      <c r="F108" s="95">
        <v>0</v>
      </c>
      <c r="G108" s="95">
        <v>225</v>
      </c>
      <c r="H108" s="95">
        <v>375</v>
      </c>
      <c r="I108" s="95">
        <v>357</v>
      </c>
      <c r="J108" s="95">
        <v>0</v>
      </c>
      <c r="K108" s="95">
        <v>375</v>
      </c>
      <c r="L108" s="95">
        <v>225</v>
      </c>
      <c r="M108" s="95">
        <v>0</v>
      </c>
      <c r="N108" s="95">
        <v>375</v>
      </c>
      <c r="O108" s="95">
        <f t="shared" si="3"/>
        <v>6607</v>
      </c>
      <c r="Q108" s="90">
        <v>500</v>
      </c>
      <c r="R108" s="107">
        <f t="shared" si="4"/>
        <v>12.214</v>
      </c>
    </row>
    <row r="109" spans="1:18" x14ac:dyDescent="0.2">
      <c r="A109" s="103">
        <v>5211</v>
      </c>
      <c r="B109" s="105" t="s">
        <v>156</v>
      </c>
      <c r="C109" s="95">
        <v>25</v>
      </c>
      <c r="D109" s="95">
        <v>25</v>
      </c>
      <c r="E109" s="95">
        <v>150</v>
      </c>
      <c r="F109" s="95">
        <v>75</v>
      </c>
      <c r="G109" s="95">
        <v>75</v>
      </c>
      <c r="H109" s="95">
        <v>75</v>
      </c>
      <c r="I109" s="95">
        <v>75</v>
      </c>
      <c r="J109" s="95">
        <v>75</v>
      </c>
      <c r="K109" s="95">
        <v>75</v>
      </c>
      <c r="L109" s="95">
        <v>75</v>
      </c>
      <c r="M109" s="95">
        <v>75</v>
      </c>
      <c r="N109" s="95">
        <v>75</v>
      </c>
      <c r="O109" s="95">
        <f t="shared" si="3"/>
        <v>875</v>
      </c>
      <c r="Q109" s="90">
        <v>1125</v>
      </c>
      <c r="R109" s="107">
        <f t="shared" si="4"/>
        <v>-0.22222222222222221</v>
      </c>
    </row>
    <row r="110" spans="1:18" x14ac:dyDescent="0.2">
      <c r="A110" s="103" t="s">
        <v>230</v>
      </c>
      <c r="B110" s="105" t="s">
        <v>157</v>
      </c>
      <c r="C110" s="95">
        <v>2087</v>
      </c>
      <c r="D110" s="95">
        <v>0</v>
      </c>
      <c r="E110" s="95">
        <v>0</v>
      </c>
      <c r="F110" s="95">
        <v>2087</v>
      </c>
      <c r="G110" s="95">
        <v>0</v>
      </c>
      <c r="H110" s="95">
        <v>0</v>
      </c>
      <c r="I110" s="95">
        <v>2087</v>
      </c>
      <c r="J110" s="95">
        <v>0</v>
      </c>
      <c r="K110" s="95">
        <v>0</v>
      </c>
      <c r="L110" s="95">
        <v>2253.96</v>
      </c>
      <c r="M110" s="95">
        <v>0</v>
      </c>
      <c r="N110" s="95">
        <v>0</v>
      </c>
      <c r="O110" s="95">
        <f t="shared" si="3"/>
        <v>8514.9599999999991</v>
      </c>
      <c r="Q110" s="90">
        <v>5940</v>
      </c>
      <c r="R110" s="107">
        <f t="shared" si="4"/>
        <v>0.43349494949494932</v>
      </c>
    </row>
    <row r="111" spans="1:18" x14ac:dyDescent="0.2">
      <c r="A111" s="103">
        <v>5410</v>
      </c>
      <c r="B111" s="105" t="s">
        <v>158</v>
      </c>
      <c r="C111" s="95">
        <v>3006.78</v>
      </c>
      <c r="D111" s="95">
        <v>3089.67</v>
      </c>
      <c r="E111" s="95">
        <v>3072.66</v>
      </c>
      <c r="F111" s="95">
        <v>2957.02</v>
      </c>
      <c r="G111" s="95">
        <v>3038.06</v>
      </c>
      <c r="H111" s="95">
        <v>2923.4</v>
      </c>
      <c r="I111" s="95">
        <v>3003.19</v>
      </c>
      <c r="J111" s="95">
        <v>2985.84</v>
      </c>
      <c r="K111" s="95">
        <v>2681.16</v>
      </c>
      <c r="L111" s="95">
        <v>2949.84</v>
      </c>
      <c r="M111" s="95">
        <v>2837.69</v>
      </c>
      <c r="N111" s="95">
        <v>2914.29</v>
      </c>
      <c r="O111" s="95">
        <f t="shared" si="3"/>
        <v>35459.599999999999</v>
      </c>
      <c r="Q111" s="90">
        <v>113408</v>
      </c>
      <c r="R111" s="107">
        <f t="shared" si="4"/>
        <v>-0.68732717268623023</v>
      </c>
    </row>
    <row r="112" spans="1:18" x14ac:dyDescent="0.2">
      <c r="A112" s="103">
        <v>5220</v>
      </c>
      <c r="B112" s="105" t="s">
        <v>159</v>
      </c>
      <c r="C112" s="95">
        <v>0</v>
      </c>
      <c r="D112" s="95">
        <v>0</v>
      </c>
      <c r="E112" s="95">
        <v>17500</v>
      </c>
      <c r="F112" s="95">
        <v>0</v>
      </c>
      <c r="G112" s="95">
        <v>0</v>
      </c>
      <c r="H112" s="95">
        <v>17500</v>
      </c>
      <c r="I112" s="95">
        <v>0</v>
      </c>
      <c r="J112" s="95">
        <v>0</v>
      </c>
      <c r="K112" s="95">
        <v>17500</v>
      </c>
      <c r="L112" s="95">
        <v>0</v>
      </c>
      <c r="M112" s="95">
        <v>0</v>
      </c>
      <c r="N112" s="95">
        <v>17500</v>
      </c>
      <c r="O112" s="99">
        <f>SUM(C112:N112)-5000</f>
        <v>65000</v>
      </c>
      <c r="Q112" s="90">
        <v>65000</v>
      </c>
      <c r="R112" s="107">
        <f t="shared" si="4"/>
        <v>0</v>
      </c>
    </row>
    <row r="113" spans="1:18" x14ac:dyDescent="0.2">
      <c r="A113" s="103">
        <v>5388</v>
      </c>
      <c r="B113" s="105" t="s">
        <v>160</v>
      </c>
      <c r="C113" s="95">
        <v>8822.2666666666664</v>
      </c>
      <c r="D113" s="95">
        <v>2519.2666666666669</v>
      </c>
      <c r="E113" s="95">
        <v>2519.2666666666669</v>
      </c>
      <c r="F113" s="95">
        <v>2713.2666666666669</v>
      </c>
      <c r="G113" s="95">
        <v>2859.2666666666669</v>
      </c>
      <c r="H113" s="95">
        <v>5119.2666666666673</v>
      </c>
      <c r="I113" s="95">
        <v>2619.2666666666669</v>
      </c>
      <c r="J113" s="95">
        <v>2519.2666666666669</v>
      </c>
      <c r="K113" s="95">
        <v>2519.2666666666669</v>
      </c>
      <c r="L113" s="95">
        <v>2569.2666666666669</v>
      </c>
      <c r="M113" s="95">
        <v>2519.2666666666669</v>
      </c>
      <c r="N113" s="95">
        <v>3018.8666666666663</v>
      </c>
      <c r="O113" s="99">
        <f>SUM(C113:N113)-800</f>
        <v>39517.800000000003</v>
      </c>
      <c r="Q113" s="90">
        <v>31355</v>
      </c>
      <c r="R113" s="107">
        <f t="shared" si="4"/>
        <v>0.26033487482060286</v>
      </c>
    </row>
    <row r="114" spans="1:18" x14ac:dyDescent="0.2">
      <c r="A114" s="103">
        <v>5368</v>
      </c>
      <c r="B114" s="105" t="s">
        <v>161</v>
      </c>
      <c r="C114" s="95">
        <v>1162.5</v>
      </c>
      <c r="D114" s="95">
        <v>822.50000000000011</v>
      </c>
      <c r="E114" s="95">
        <v>1037.5</v>
      </c>
      <c r="F114" s="95">
        <v>894.5</v>
      </c>
      <c r="G114" s="95">
        <v>3516.8749999999995</v>
      </c>
      <c r="H114" s="95">
        <v>3670</v>
      </c>
      <c r="I114" s="95">
        <v>1417.5</v>
      </c>
      <c r="J114" s="95">
        <v>1177.4999999999998</v>
      </c>
      <c r="K114" s="95">
        <v>1392.4999999999998</v>
      </c>
      <c r="L114" s="95">
        <v>894.5</v>
      </c>
      <c r="M114" s="95">
        <v>1022.5000000000001</v>
      </c>
      <c r="N114" s="95">
        <v>932.74000000000012</v>
      </c>
      <c r="O114" s="95">
        <f t="shared" si="3"/>
        <v>17941.115000000002</v>
      </c>
      <c r="Q114" s="90">
        <v>16020</v>
      </c>
      <c r="R114" s="107">
        <f t="shared" si="4"/>
        <v>0.11991978776529348</v>
      </c>
    </row>
    <row r="115" spans="1:18" x14ac:dyDescent="0.2">
      <c r="A115" s="103">
        <v>5320</v>
      </c>
      <c r="B115" s="105" t="s">
        <v>162</v>
      </c>
      <c r="C115" s="95">
        <v>0</v>
      </c>
      <c r="D115" s="95">
        <v>925</v>
      </c>
      <c r="E115" s="95">
        <v>0</v>
      </c>
      <c r="F115" s="95">
        <v>1000</v>
      </c>
      <c r="G115" s="95">
        <v>0</v>
      </c>
      <c r="H115" s="95">
        <v>325</v>
      </c>
      <c r="I115" s="95">
        <v>0</v>
      </c>
      <c r="J115" s="95">
        <v>0</v>
      </c>
      <c r="K115" s="95">
        <v>0</v>
      </c>
      <c r="L115" s="95">
        <v>325</v>
      </c>
      <c r="M115" s="95">
        <v>0</v>
      </c>
      <c r="N115" s="95">
        <v>500</v>
      </c>
      <c r="O115" s="95">
        <f>SUM(C115:N115)</f>
        <v>3075</v>
      </c>
      <c r="Q115" s="90">
        <v>6500</v>
      </c>
      <c r="R115" s="107">
        <f t="shared" si="4"/>
        <v>-0.52692307692307694</v>
      </c>
    </row>
    <row r="116" spans="1:18" x14ac:dyDescent="0.2">
      <c r="A116" s="111">
        <v>5104</v>
      </c>
      <c r="B116" s="105" t="s">
        <v>163</v>
      </c>
      <c r="C116" s="95">
        <v>4402.8424999999997</v>
      </c>
      <c r="D116" s="95">
        <v>0</v>
      </c>
      <c r="E116" s="95">
        <v>0</v>
      </c>
      <c r="F116" s="95">
        <v>4402.8424999999997</v>
      </c>
      <c r="G116" s="95">
        <v>0</v>
      </c>
      <c r="H116" s="95">
        <v>0</v>
      </c>
      <c r="I116" s="95">
        <v>4402.8424999999997</v>
      </c>
      <c r="J116" s="95">
        <v>3685.5</v>
      </c>
      <c r="K116" s="95">
        <v>0</v>
      </c>
      <c r="L116" s="95">
        <v>4925.9846250000001</v>
      </c>
      <c r="M116" s="95">
        <v>0</v>
      </c>
      <c r="N116" s="95">
        <v>0</v>
      </c>
      <c r="O116" s="95">
        <f t="shared" si="3"/>
        <v>21820.012125000001</v>
      </c>
      <c r="Q116" s="90">
        <v>20514</v>
      </c>
      <c r="R116" s="107">
        <f t="shared" si="4"/>
        <v>6.3664430389002685E-2</v>
      </c>
    </row>
    <row r="117" spans="1:18" x14ac:dyDescent="0.2">
      <c r="A117" s="103">
        <v>5214</v>
      </c>
      <c r="B117" s="105" t="s">
        <v>164</v>
      </c>
      <c r="C117" s="95">
        <v>700</v>
      </c>
      <c r="D117" s="95">
        <v>0</v>
      </c>
      <c r="E117" s="95">
        <v>0</v>
      </c>
      <c r="F117" s="95">
        <v>800</v>
      </c>
      <c r="G117" s="95">
        <v>800</v>
      </c>
      <c r="H117" s="95">
        <v>800</v>
      </c>
      <c r="I117" s="95">
        <v>1110</v>
      </c>
      <c r="J117" s="95">
        <v>800</v>
      </c>
      <c r="K117" s="95">
        <v>800</v>
      </c>
      <c r="L117" s="95">
        <v>800</v>
      </c>
      <c r="M117" s="95">
        <v>800</v>
      </c>
      <c r="N117" s="95">
        <v>800</v>
      </c>
      <c r="O117" s="97">
        <f>SUM(C117:N117)</f>
        <v>8210</v>
      </c>
      <c r="Q117" s="90">
        <v>675</v>
      </c>
      <c r="R117" s="107">
        <f t="shared" si="4"/>
        <v>11.162962962962963</v>
      </c>
    </row>
    <row r="118" spans="1:18" x14ac:dyDescent="0.2">
      <c r="A118" s="103">
        <v>5376</v>
      </c>
      <c r="B118" s="105" t="s">
        <v>165</v>
      </c>
      <c r="C118" s="95">
        <v>75</v>
      </c>
      <c r="D118" s="95">
        <v>75</v>
      </c>
      <c r="E118" s="95">
        <v>75</v>
      </c>
      <c r="F118" s="95">
        <v>75</v>
      </c>
      <c r="G118" s="95">
        <v>75</v>
      </c>
      <c r="H118" s="95">
        <v>75</v>
      </c>
      <c r="I118" s="95">
        <v>75</v>
      </c>
      <c r="J118" s="95">
        <v>75</v>
      </c>
      <c r="K118" s="95">
        <v>75</v>
      </c>
      <c r="L118" s="95">
        <v>75</v>
      </c>
      <c r="M118" s="95">
        <v>75</v>
      </c>
      <c r="N118" s="95">
        <v>75</v>
      </c>
      <c r="O118" s="95">
        <f t="shared" si="3"/>
        <v>900</v>
      </c>
      <c r="Q118" s="90">
        <v>600</v>
      </c>
      <c r="R118" s="107">
        <f t="shared" si="4"/>
        <v>0.5</v>
      </c>
    </row>
    <row r="119" spans="1:18" x14ac:dyDescent="0.2">
      <c r="A119" s="103">
        <v>5452</v>
      </c>
      <c r="B119" s="105" t="s">
        <v>166</v>
      </c>
      <c r="C119" s="95">
        <v>665</v>
      </c>
      <c r="D119" s="95">
        <v>680</v>
      </c>
      <c r="E119" s="95">
        <v>865</v>
      </c>
      <c r="F119" s="95">
        <v>630</v>
      </c>
      <c r="G119" s="95">
        <v>665</v>
      </c>
      <c r="H119" s="95">
        <v>895</v>
      </c>
      <c r="I119" s="95">
        <v>665</v>
      </c>
      <c r="J119" s="95">
        <v>580</v>
      </c>
      <c r="K119" s="95">
        <v>865</v>
      </c>
      <c r="L119" s="95">
        <v>705</v>
      </c>
      <c r="M119" s="95">
        <v>690</v>
      </c>
      <c r="N119" s="95">
        <v>780</v>
      </c>
      <c r="O119" s="95">
        <f t="shared" si="3"/>
        <v>8685</v>
      </c>
      <c r="Q119" s="90">
        <v>11756</v>
      </c>
      <c r="R119" s="107">
        <f t="shared" si="4"/>
        <v>-0.26122830894862198</v>
      </c>
    </row>
    <row r="120" spans="1:18" hidden="1" x14ac:dyDescent="0.2">
      <c r="A120" s="103">
        <v>5203</v>
      </c>
      <c r="B120" s="108" t="s">
        <v>167</v>
      </c>
      <c r="C120" s="95"/>
      <c r="D120" s="95"/>
      <c r="E120" s="95"/>
      <c r="F120" s="95"/>
      <c r="G120" s="95"/>
      <c r="H120" s="95"/>
      <c r="I120" s="95"/>
      <c r="J120" s="95"/>
      <c r="K120" s="95"/>
      <c r="L120" s="95"/>
      <c r="M120" s="95"/>
      <c r="N120" s="95"/>
      <c r="O120" s="95">
        <f t="shared" si="3"/>
        <v>0</v>
      </c>
      <c r="R120" s="107" t="e">
        <f t="shared" si="4"/>
        <v>#DIV/0!</v>
      </c>
    </row>
    <row r="121" spans="1:18" hidden="1" x14ac:dyDescent="0.2">
      <c r="A121" s="103">
        <v>5423</v>
      </c>
      <c r="B121" s="108" t="s">
        <v>168</v>
      </c>
      <c r="C121" s="95"/>
      <c r="D121" s="95"/>
      <c r="E121" s="95"/>
      <c r="F121" s="95"/>
      <c r="G121" s="95"/>
      <c r="H121" s="95"/>
      <c r="I121" s="95"/>
      <c r="J121" s="95"/>
      <c r="K121" s="95"/>
      <c r="L121" s="95"/>
      <c r="M121" s="95"/>
      <c r="N121" s="95"/>
      <c r="O121" s="95">
        <f t="shared" si="3"/>
        <v>0</v>
      </c>
      <c r="R121" s="107" t="e">
        <f t="shared" si="4"/>
        <v>#DIV/0!</v>
      </c>
    </row>
    <row r="122" spans="1:18" x14ac:dyDescent="0.2">
      <c r="A122" s="103">
        <v>5362</v>
      </c>
      <c r="B122" s="105" t="s">
        <v>169</v>
      </c>
      <c r="C122" s="95">
        <v>1900</v>
      </c>
      <c r="D122" s="95">
        <v>1900</v>
      </c>
      <c r="E122" s="95">
        <v>1900</v>
      </c>
      <c r="F122" s="95">
        <v>1900</v>
      </c>
      <c r="G122" s="95">
        <v>1900</v>
      </c>
      <c r="H122" s="95">
        <v>1900</v>
      </c>
      <c r="I122" s="95">
        <v>1900</v>
      </c>
      <c r="J122" s="95">
        <v>1900</v>
      </c>
      <c r="K122" s="95">
        <v>1900</v>
      </c>
      <c r="L122" s="95">
        <v>1900</v>
      </c>
      <c r="M122" s="95">
        <v>1900</v>
      </c>
      <c r="N122" s="95">
        <v>1900</v>
      </c>
      <c r="O122" s="95">
        <f t="shared" si="3"/>
        <v>22800</v>
      </c>
      <c r="Q122" s="90">
        <v>22800</v>
      </c>
      <c r="R122" s="107">
        <f t="shared" si="4"/>
        <v>0</v>
      </c>
    </row>
    <row r="123" spans="1:18" x14ac:dyDescent="0.2">
      <c r="A123" s="103">
        <v>5106</v>
      </c>
      <c r="B123" s="112" t="s">
        <v>170</v>
      </c>
      <c r="C123" s="95">
        <v>458.33333333333331</v>
      </c>
      <c r="D123" s="95">
        <v>458.33333333333331</v>
      </c>
      <c r="E123" s="95">
        <v>458.33333333333331</v>
      </c>
      <c r="F123" s="95">
        <v>458.33333333333331</v>
      </c>
      <c r="G123" s="95">
        <v>458.33333333333331</v>
      </c>
      <c r="H123" s="95">
        <v>458.33333333333331</v>
      </c>
      <c r="I123" s="95">
        <v>458.33333333333331</v>
      </c>
      <c r="J123" s="95">
        <v>458.33333333333331</v>
      </c>
      <c r="K123" s="95">
        <v>458.33333333333331</v>
      </c>
      <c r="L123" s="95">
        <v>458.33333333333331</v>
      </c>
      <c r="M123" s="95">
        <v>458.33333333333331</v>
      </c>
      <c r="N123" s="95">
        <v>458.33333333333331</v>
      </c>
      <c r="O123" s="99">
        <f>SUM(C123:N123)-500</f>
        <v>4999.9999999999991</v>
      </c>
      <c r="Q123" s="90">
        <v>11375</v>
      </c>
      <c r="R123" s="107">
        <f t="shared" si="4"/>
        <v>-0.56043956043956056</v>
      </c>
    </row>
    <row r="124" spans="1:18" x14ac:dyDescent="0.2">
      <c r="A124" s="103" t="s">
        <v>228</v>
      </c>
      <c r="B124" s="105" t="s">
        <v>171</v>
      </c>
      <c r="C124" s="95">
        <v>13095.416666666666</v>
      </c>
      <c r="D124" s="95">
        <v>13095.416666666666</v>
      </c>
      <c r="E124" s="95">
        <v>13095.416666666666</v>
      </c>
      <c r="F124" s="95">
        <v>13095.416666666666</v>
      </c>
      <c r="G124" s="95">
        <v>13095.416666666666</v>
      </c>
      <c r="H124" s="95">
        <v>13095.416666666666</v>
      </c>
      <c r="I124" s="95">
        <v>13095.416666666666</v>
      </c>
      <c r="J124" s="95">
        <v>13095.416666666666</v>
      </c>
      <c r="K124" s="95">
        <v>13095.416666666666</v>
      </c>
      <c r="L124" s="95">
        <v>13095.416666666666</v>
      </c>
      <c r="M124" s="95">
        <v>13095.416666666666</v>
      </c>
      <c r="N124" s="95">
        <v>13095.416666666666</v>
      </c>
      <c r="O124" s="97">
        <f>SUM(C124:N124)-10607+10607</f>
        <v>157145</v>
      </c>
      <c r="Q124" s="90">
        <v>159872</v>
      </c>
      <c r="R124" s="107">
        <f t="shared" si="4"/>
        <v>-1.7057395916733387E-2</v>
      </c>
    </row>
    <row r="125" spans="1:18" x14ac:dyDescent="0.2">
      <c r="A125" s="103">
        <v>7335</v>
      </c>
      <c r="B125" s="105" t="s">
        <v>172</v>
      </c>
      <c r="C125" s="95">
        <v>387.0825000000001</v>
      </c>
      <c r="D125" s="95">
        <v>387.0825000000001</v>
      </c>
      <c r="E125" s="95">
        <v>387.0825000000001</v>
      </c>
      <c r="F125" s="95">
        <v>387.0825000000001</v>
      </c>
      <c r="G125" s="95">
        <v>387.0825000000001</v>
      </c>
      <c r="H125" s="95">
        <v>652.20749999999998</v>
      </c>
      <c r="I125" s="95">
        <v>387.0825000000001</v>
      </c>
      <c r="J125" s="95">
        <v>387.0825000000001</v>
      </c>
      <c r="K125" s="95">
        <v>387.0825000000001</v>
      </c>
      <c r="L125" s="95">
        <v>387.0825000000001</v>
      </c>
      <c r="M125" s="95">
        <v>387.0825000000001</v>
      </c>
      <c r="N125" s="95">
        <v>1508.9425000000001</v>
      </c>
      <c r="O125" s="99">
        <f>SUM(C125:N125)-300</f>
        <v>5731.9750000000013</v>
      </c>
      <c r="Q125" s="90">
        <v>4886</v>
      </c>
      <c r="R125" s="107">
        <f t="shared" si="4"/>
        <v>0.17314265247646363</v>
      </c>
    </row>
    <row r="126" spans="1:18" x14ac:dyDescent="0.2">
      <c r="A126" s="103">
        <v>5110</v>
      </c>
      <c r="B126" s="104" t="s">
        <v>173</v>
      </c>
      <c r="C126" s="95">
        <v>500</v>
      </c>
      <c r="D126" s="95">
        <v>500</v>
      </c>
      <c r="E126" s="95">
        <v>500</v>
      </c>
      <c r="F126" s="95">
        <v>0</v>
      </c>
      <c r="G126" s="95">
        <v>0</v>
      </c>
      <c r="H126" s="95">
        <v>0</v>
      </c>
      <c r="I126" s="95">
        <v>0</v>
      </c>
      <c r="J126" s="95">
        <v>0</v>
      </c>
      <c r="K126" s="95">
        <v>0</v>
      </c>
      <c r="L126" s="95">
        <v>0</v>
      </c>
      <c r="M126" s="95">
        <v>0</v>
      </c>
      <c r="N126" s="95">
        <v>0</v>
      </c>
      <c r="O126" s="95">
        <f t="shared" si="3"/>
        <v>1500</v>
      </c>
      <c r="Q126" s="90">
        <v>1250</v>
      </c>
      <c r="R126" s="107">
        <f t="shared" si="4"/>
        <v>0.2</v>
      </c>
    </row>
    <row r="127" spans="1:18" x14ac:dyDescent="0.2">
      <c r="A127" s="103">
        <v>5350</v>
      </c>
      <c r="B127" s="105" t="s">
        <v>174</v>
      </c>
      <c r="C127" s="95">
        <v>391</v>
      </c>
      <c r="D127" s="95">
        <v>388</v>
      </c>
      <c r="E127" s="95">
        <v>311</v>
      </c>
      <c r="F127" s="95">
        <v>286</v>
      </c>
      <c r="G127" s="95">
        <v>493</v>
      </c>
      <c r="H127" s="95">
        <v>386</v>
      </c>
      <c r="I127" s="95">
        <v>311</v>
      </c>
      <c r="J127" s="95">
        <v>388</v>
      </c>
      <c r="K127" s="95">
        <v>391</v>
      </c>
      <c r="L127" s="95">
        <v>286</v>
      </c>
      <c r="M127" s="95">
        <v>413</v>
      </c>
      <c r="N127" s="95">
        <v>286</v>
      </c>
      <c r="O127" s="95">
        <f t="shared" si="3"/>
        <v>4330</v>
      </c>
      <c r="Q127" s="90">
        <v>5162</v>
      </c>
      <c r="R127" s="107">
        <f t="shared" si="4"/>
        <v>-0.16117783804726851</v>
      </c>
    </row>
    <row r="128" spans="1:18" x14ac:dyDescent="0.2">
      <c r="A128" s="103">
        <v>5386</v>
      </c>
      <c r="B128" s="105" t="s">
        <v>175</v>
      </c>
      <c r="C128" s="95">
        <v>7258.333333333333</v>
      </c>
      <c r="D128" s="95">
        <v>1058.3333333333333</v>
      </c>
      <c r="E128" s="95">
        <v>2213.333333333333</v>
      </c>
      <c r="F128" s="95">
        <v>4458.333333333333</v>
      </c>
      <c r="G128" s="95">
        <v>1813.3333333333333</v>
      </c>
      <c r="H128" s="95">
        <v>3788.333333333333</v>
      </c>
      <c r="I128" s="95">
        <v>4458.333333333333</v>
      </c>
      <c r="J128" s="95">
        <v>2208.3333333333335</v>
      </c>
      <c r="K128" s="95">
        <v>2163.333333333333</v>
      </c>
      <c r="L128" s="95">
        <v>4458.333333333333</v>
      </c>
      <c r="M128" s="95">
        <v>858.33333333333326</v>
      </c>
      <c r="N128" s="95">
        <v>1488.3333333333333</v>
      </c>
      <c r="O128" s="99">
        <f>SUM(C128:N128)-1225</f>
        <v>35000</v>
      </c>
      <c r="Q128" s="90">
        <v>31571</v>
      </c>
      <c r="R128" s="107">
        <f t="shared" si="4"/>
        <v>0.10861233410408286</v>
      </c>
    </row>
    <row r="129" spans="1:18" x14ac:dyDescent="0.2">
      <c r="A129" s="103">
        <v>5209</v>
      </c>
      <c r="B129" s="105" t="s">
        <v>176</v>
      </c>
      <c r="C129" s="95">
        <v>0</v>
      </c>
      <c r="D129" s="95">
        <v>0</v>
      </c>
      <c r="E129" s="95">
        <v>150</v>
      </c>
      <c r="F129" s="95">
        <v>0</v>
      </c>
      <c r="G129" s="95">
        <v>45</v>
      </c>
      <c r="H129" s="95">
        <v>0</v>
      </c>
      <c r="I129" s="95">
        <v>0</v>
      </c>
      <c r="J129" s="95">
        <v>0</v>
      </c>
      <c r="K129" s="95">
        <v>0</v>
      </c>
      <c r="L129" s="95">
        <v>0</v>
      </c>
      <c r="M129" s="95">
        <v>0</v>
      </c>
      <c r="N129" s="95">
        <v>150</v>
      </c>
      <c r="O129" s="95">
        <f t="shared" si="3"/>
        <v>345</v>
      </c>
      <c r="Q129" s="90">
        <v>650</v>
      </c>
      <c r="R129" s="107">
        <f t="shared" si="4"/>
        <v>-0.46923076923076923</v>
      </c>
    </row>
    <row r="130" spans="1:18" x14ac:dyDescent="0.2">
      <c r="A130" s="103">
        <v>8440</v>
      </c>
      <c r="B130" s="105" t="s">
        <v>177</v>
      </c>
      <c r="C130" s="95">
        <v>12028</v>
      </c>
      <c r="D130" s="95">
        <v>0</v>
      </c>
      <c r="E130" s="95">
        <v>0</v>
      </c>
      <c r="F130" s="95">
        <v>0</v>
      </c>
      <c r="G130" s="95">
        <v>0</v>
      </c>
      <c r="H130" s="95">
        <v>0</v>
      </c>
      <c r="I130" s="95">
        <v>0</v>
      </c>
      <c r="J130" s="95">
        <v>0</v>
      </c>
      <c r="K130" s="95">
        <v>0</v>
      </c>
      <c r="L130" s="95">
        <v>0</v>
      </c>
      <c r="M130" s="95">
        <v>0</v>
      </c>
      <c r="N130" s="95">
        <v>0</v>
      </c>
      <c r="O130" s="99">
        <f>SUM(C130:N130)-3000</f>
        <v>9028</v>
      </c>
      <c r="Q130" s="90">
        <v>20000</v>
      </c>
      <c r="R130" s="107">
        <f t="shared" si="4"/>
        <v>-0.54859999999999998</v>
      </c>
    </row>
    <row r="131" spans="1:18" x14ac:dyDescent="0.2">
      <c r="A131" s="103">
        <v>5202</v>
      </c>
      <c r="B131" s="104" t="s">
        <v>178</v>
      </c>
      <c r="C131" s="95">
        <v>0</v>
      </c>
      <c r="D131" s="95">
        <v>0</v>
      </c>
      <c r="E131" s="95">
        <v>0</v>
      </c>
      <c r="F131" s="95">
        <v>0</v>
      </c>
      <c r="G131" s="95">
        <v>0</v>
      </c>
      <c r="H131" s="95">
        <v>0</v>
      </c>
      <c r="I131" s="95">
        <v>0</v>
      </c>
      <c r="J131" s="95">
        <v>0</v>
      </c>
      <c r="K131" s="95">
        <v>0</v>
      </c>
      <c r="L131" s="95">
        <v>75</v>
      </c>
      <c r="M131" s="95">
        <v>0</v>
      </c>
      <c r="N131" s="95">
        <v>0</v>
      </c>
      <c r="O131" s="95">
        <f t="shared" si="3"/>
        <v>75</v>
      </c>
      <c r="Q131" s="90">
        <v>75</v>
      </c>
      <c r="R131" s="107">
        <f t="shared" si="4"/>
        <v>0</v>
      </c>
    </row>
    <row r="132" spans="1:18" x14ac:dyDescent="0.2">
      <c r="A132" s="103">
        <v>5291</v>
      </c>
      <c r="B132" s="104" t="s">
        <v>179</v>
      </c>
      <c r="C132" s="95">
        <v>150</v>
      </c>
      <c r="D132" s="95">
        <v>0</v>
      </c>
      <c r="E132" s="95">
        <v>0</v>
      </c>
      <c r="F132" s="95">
        <v>0</v>
      </c>
      <c r="G132" s="95">
        <v>0</v>
      </c>
      <c r="H132" s="95">
        <v>0</v>
      </c>
      <c r="I132" s="95">
        <v>0</v>
      </c>
      <c r="J132" s="95">
        <v>0</v>
      </c>
      <c r="K132" s="95">
        <v>0</v>
      </c>
      <c r="L132" s="95">
        <v>0</v>
      </c>
      <c r="M132" s="95">
        <v>0</v>
      </c>
      <c r="N132" s="95">
        <v>0</v>
      </c>
      <c r="O132" s="95">
        <f t="shared" si="3"/>
        <v>150</v>
      </c>
      <c r="Q132" s="90">
        <v>0</v>
      </c>
      <c r="R132" s="107">
        <v>0</v>
      </c>
    </row>
    <row r="133" spans="1:18" x14ac:dyDescent="0.2">
      <c r="A133" s="103" t="s">
        <v>231</v>
      </c>
      <c r="B133" s="105" t="s">
        <v>180</v>
      </c>
      <c r="C133" s="95">
        <v>800</v>
      </c>
      <c r="D133" s="95">
        <v>725</v>
      </c>
      <c r="E133" s="95">
        <v>1375</v>
      </c>
      <c r="F133" s="95">
        <v>725</v>
      </c>
      <c r="G133" s="95">
        <v>725</v>
      </c>
      <c r="H133" s="95">
        <v>800</v>
      </c>
      <c r="I133" s="95">
        <v>725</v>
      </c>
      <c r="J133" s="95">
        <v>725</v>
      </c>
      <c r="K133" s="95">
        <v>1375</v>
      </c>
      <c r="L133" s="95">
        <v>725</v>
      </c>
      <c r="M133" s="95">
        <v>800</v>
      </c>
      <c r="N133" s="95">
        <v>725</v>
      </c>
      <c r="O133" s="95">
        <f t="shared" si="3"/>
        <v>10225</v>
      </c>
      <c r="Q133" s="90">
        <v>12916</v>
      </c>
      <c r="R133" s="107">
        <f t="shared" si="4"/>
        <v>-0.20834623722514711</v>
      </c>
    </row>
    <row r="134" spans="1:18" x14ac:dyDescent="0.2">
      <c r="A134" s="103" t="s">
        <v>228</v>
      </c>
      <c r="B134" s="105" t="s">
        <v>181</v>
      </c>
      <c r="C134" s="95">
        <v>112854.95166666666</v>
      </c>
      <c r="D134" s="95">
        <v>112854.95166666666</v>
      </c>
      <c r="E134" s="95">
        <v>112854.95166666666</v>
      </c>
      <c r="F134" s="95">
        <v>114204.95166666666</v>
      </c>
      <c r="G134" s="95">
        <v>112854.95166666666</v>
      </c>
      <c r="H134" s="95">
        <v>112854.95166666666</v>
      </c>
      <c r="I134" s="95">
        <v>112854.95166666666</v>
      </c>
      <c r="J134" s="95">
        <v>112854.95166666666</v>
      </c>
      <c r="K134" s="95">
        <v>112854.95166666666</v>
      </c>
      <c r="L134" s="95">
        <v>112854.95166666666</v>
      </c>
      <c r="M134" s="95">
        <v>112854.95166666666</v>
      </c>
      <c r="N134" s="95">
        <v>112854.95166666666</v>
      </c>
      <c r="O134" s="97">
        <f>SUM(C134:N134)-5530.42-44134+44134</f>
        <v>1350079</v>
      </c>
      <c r="Q134" s="90">
        <v>1305890</v>
      </c>
      <c r="R134" s="107">
        <f t="shared" si="4"/>
        <v>3.3838225271653817E-2</v>
      </c>
    </row>
    <row r="135" spans="1:18" x14ac:dyDescent="0.2">
      <c r="A135" s="103">
        <v>5367</v>
      </c>
      <c r="B135" s="105" t="s">
        <v>182</v>
      </c>
      <c r="C135" s="95">
        <v>1062.5</v>
      </c>
      <c r="D135" s="95">
        <v>1062.5</v>
      </c>
      <c r="E135" s="95">
        <v>1062.5</v>
      </c>
      <c r="F135" s="95">
        <v>1062.5</v>
      </c>
      <c r="G135" s="95">
        <v>1062.5</v>
      </c>
      <c r="H135" s="95">
        <v>1062.5</v>
      </c>
      <c r="I135" s="95">
        <v>1062.5</v>
      </c>
      <c r="J135" s="95">
        <v>1062.5</v>
      </c>
      <c r="K135" s="95">
        <v>1062.5</v>
      </c>
      <c r="L135" s="95">
        <v>1062.5</v>
      </c>
      <c r="M135" s="95">
        <v>1062.5</v>
      </c>
      <c r="N135" s="95">
        <v>1062.5</v>
      </c>
      <c r="O135" s="95">
        <f t="shared" si="3"/>
        <v>12750</v>
      </c>
      <c r="Q135" s="90">
        <v>15076</v>
      </c>
      <c r="R135" s="107">
        <f t="shared" si="4"/>
        <v>-0.15428495622180949</v>
      </c>
    </row>
    <row r="136" spans="1:18" hidden="1" x14ac:dyDescent="0.2">
      <c r="A136" s="103">
        <v>5427</v>
      </c>
      <c r="B136" s="113" t="s">
        <v>183</v>
      </c>
      <c r="C136" s="95"/>
      <c r="D136" s="95"/>
      <c r="E136" s="95"/>
      <c r="F136" s="95"/>
      <c r="G136" s="95"/>
      <c r="H136" s="95"/>
      <c r="I136" s="95"/>
      <c r="J136" s="95"/>
      <c r="K136" s="95"/>
      <c r="L136" s="95"/>
      <c r="M136" s="95"/>
      <c r="N136" s="95"/>
      <c r="O136" s="95">
        <f t="shared" si="3"/>
        <v>0</v>
      </c>
      <c r="R136" s="107" t="e">
        <f t="shared" si="4"/>
        <v>#DIV/0!</v>
      </c>
    </row>
    <row r="137" spans="1:18" hidden="1" x14ac:dyDescent="0.2">
      <c r="A137" s="103">
        <v>8428</v>
      </c>
      <c r="B137" s="108" t="s">
        <v>184</v>
      </c>
      <c r="C137" s="95"/>
      <c r="D137" s="95"/>
      <c r="E137" s="95"/>
      <c r="F137" s="95"/>
      <c r="G137" s="95"/>
      <c r="H137" s="95"/>
      <c r="I137" s="95"/>
      <c r="J137" s="95"/>
      <c r="K137" s="95"/>
      <c r="L137" s="95"/>
      <c r="M137" s="95"/>
      <c r="N137" s="95"/>
      <c r="O137" s="95">
        <f t="shared" si="3"/>
        <v>0</v>
      </c>
      <c r="R137" s="107" t="e">
        <f t="shared" si="4"/>
        <v>#DIV/0!</v>
      </c>
    </row>
    <row r="138" spans="1:18" x14ac:dyDescent="0.2">
      <c r="A138" s="103">
        <v>5355</v>
      </c>
      <c r="B138" s="105" t="s">
        <v>185</v>
      </c>
      <c r="C138" s="95">
        <v>892.5001666666667</v>
      </c>
      <c r="D138" s="95">
        <v>892.5001666666667</v>
      </c>
      <c r="E138" s="95">
        <v>892.5001666666667</v>
      </c>
      <c r="F138" s="95">
        <v>892.5001666666667</v>
      </c>
      <c r="G138" s="95">
        <v>892.5001666666667</v>
      </c>
      <c r="H138" s="95">
        <v>1392.5001666666667</v>
      </c>
      <c r="I138" s="95">
        <v>892.5001666666667</v>
      </c>
      <c r="J138" s="95">
        <v>892.5001666666667</v>
      </c>
      <c r="K138" s="95">
        <v>892.5001666666667</v>
      </c>
      <c r="L138" s="95">
        <v>892.5001666666667</v>
      </c>
      <c r="M138" s="95">
        <v>892.5001666666667</v>
      </c>
      <c r="N138" s="95">
        <v>1242.5001666666667</v>
      </c>
      <c r="O138" s="98">
        <f>SUM(C138:N138)-1500-2060</f>
        <v>8000.0020000000004</v>
      </c>
      <c r="Q138" s="90">
        <v>5910</v>
      </c>
      <c r="R138" s="107">
        <f t="shared" si="4"/>
        <v>0.35363824027072766</v>
      </c>
    </row>
    <row r="139" spans="1:18" x14ac:dyDescent="0.2">
      <c r="A139" s="103">
        <v>5114</v>
      </c>
      <c r="B139" s="105" t="s">
        <v>186</v>
      </c>
      <c r="C139" s="95">
        <v>100</v>
      </c>
      <c r="D139" s="95">
        <v>100</v>
      </c>
      <c r="E139" s="95">
        <v>100</v>
      </c>
      <c r="F139" s="95">
        <v>100</v>
      </c>
      <c r="G139" s="95">
        <v>100</v>
      </c>
      <c r="H139" s="95">
        <v>100</v>
      </c>
      <c r="I139" s="95">
        <v>100</v>
      </c>
      <c r="J139" s="95">
        <v>100</v>
      </c>
      <c r="K139" s="95">
        <v>100</v>
      </c>
      <c r="L139" s="95">
        <v>100</v>
      </c>
      <c r="M139" s="95">
        <v>100</v>
      </c>
      <c r="N139" s="95">
        <v>100</v>
      </c>
      <c r="O139" s="95">
        <f t="shared" si="3"/>
        <v>1200</v>
      </c>
      <c r="Q139" s="90">
        <v>1200</v>
      </c>
      <c r="R139" s="107">
        <f t="shared" si="4"/>
        <v>0</v>
      </c>
    </row>
    <row r="140" spans="1:18" x14ac:dyDescent="0.2">
      <c r="A140" s="103">
        <v>5332</v>
      </c>
      <c r="B140" s="105" t="s">
        <v>187</v>
      </c>
      <c r="C140" s="95">
        <v>793.75</v>
      </c>
      <c r="D140" s="95">
        <v>853.75</v>
      </c>
      <c r="E140" s="95">
        <v>803.75</v>
      </c>
      <c r="F140" s="95">
        <v>803.75</v>
      </c>
      <c r="G140" s="95">
        <v>803.75</v>
      </c>
      <c r="H140" s="95">
        <v>803.75</v>
      </c>
      <c r="I140" s="95">
        <v>853.75</v>
      </c>
      <c r="J140" s="95">
        <v>803.75</v>
      </c>
      <c r="K140" s="95">
        <v>803.75</v>
      </c>
      <c r="L140" s="95">
        <v>803.75</v>
      </c>
      <c r="M140" s="95">
        <v>803.75</v>
      </c>
      <c r="N140" s="95">
        <v>803.75</v>
      </c>
      <c r="O140" s="99">
        <f>SUM(C140:N140)-400</f>
        <v>9335</v>
      </c>
      <c r="Q140" s="90">
        <v>14858</v>
      </c>
      <c r="R140" s="107">
        <f t="shared" si="4"/>
        <v>-0.37171893929196392</v>
      </c>
    </row>
    <row r="141" spans="1:18" x14ac:dyDescent="0.2">
      <c r="A141" s="103" t="s">
        <v>232</v>
      </c>
      <c r="B141" s="105" t="s">
        <v>188</v>
      </c>
      <c r="C141" s="95">
        <v>140</v>
      </c>
      <c r="D141" s="95">
        <v>145</v>
      </c>
      <c r="E141" s="95">
        <v>0</v>
      </c>
      <c r="F141" s="95">
        <v>0</v>
      </c>
      <c r="G141" s="95">
        <v>70</v>
      </c>
      <c r="H141" s="95">
        <v>0</v>
      </c>
      <c r="I141" s="95">
        <v>0</v>
      </c>
      <c r="J141" s="95">
        <v>0</v>
      </c>
      <c r="K141" s="95">
        <v>70</v>
      </c>
      <c r="L141" s="95">
        <v>0</v>
      </c>
      <c r="M141" s="95">
        <v>0</v>
      </c>
      <c r="N141" s="95">
        <v>315</v>
      </c>
      <c r="O141" s="95">
        <f t="shared" si="3"/>
        <v>740</v>
      </c>
      <c r="Q141" s="90">
        <v>1775</v>
      </c>
      <c r="R141" s="107">
        <f t="shared" si="4"/>
        <v>-0.58309859154929577</v>
      </c>
    </row>
    <row r="142" spans="1:18" x14ac:dyDescent="0.2">
      <c r="A142" s="103">
        <v>5340</v>
      </c>
      <c r="B142" s="105" t="s">
        <v>189</v>
      </c>
      <c r="C142" s="95">
        <v>2232.8399999999997</v>
      </c>
      <c r="D142" s="95">
        <v>2232.8399999999997</v>
      </c>
      <c r="E142" s="95">
        <v>2232.8399999999997</v>
      </c>
      <c r="F142" s="95">
        <v>2232.8399999999997</v>
      </c>
      <c r="G142" s="95">
        <v>2232.8399999999997</v>
      </c>
      <c r="H142" s="95">
        <v>2232.8399999999997</v>
      </c>
      <c r="I142" s="95">
        <v>2232.8399999999997</v>
      </c>
      <c r="J142" s="95">
        <v>2232.8399999999997</v>
      </c>
      <c r="K142" s="95">
        <v>2232.8399999999997</v>
      </c>
      <c r="L142" s="95">
        <v>2232.8399999999997</v>
      </c>
      <c r="M142" s="95">
        <v>2232.8399999999997</v>
      </c>
      <c r="N142" s="95">
        <v>2233.96</v>
      </c>
      <c r="O142" s="99">
        <f>SUM(C142:N142)-3500</f>
        <v>23295.199999999997</v>
      </c>
      <c r="Q142" s="90">
        <v>23821</v>
      </c>
      <c r="R142" s="107">
        <f t="shared" si="4"/>
        <v>-2.2072960832878675E-2</v>
      </c>
    </row>
    <row r="143" spans="1:18" x14ac:dyDescent="0.2">
      <c r="A143" s="103"/>
      <c r="B143" s="114" t="s">
        <v>190</v>
      </c>
      <c r="C143" s="95">
        <v>960</v>
      </c>
      <c r="D143" s="95">
        <v>960</v>
      </c>
      <c r="E143" s="95">
        <v>960</v>
      </c>
      <c r="F143" s="95">
        <v>960</v>
      </c>
      <c r="G143" s="95">
        <v>960</v>
      </c>
      <c r="H143" s="95">
        <v>960</v>
      </c>
      <c r="I143" s="95">
        <v>960</v>
      </c>
      <c r="J143" s="95">
        <v>960</v>
      </c>
      <c r="K143" s="95">
        <v>960</v>
      </c>
      <c r="L143" s="95">
        <v>960</v>
      </c>
      <c r="M143" s="95">
        <v>960</v>
      </c>
      <c r="N143" s="95">
        <v>960</v>
      </c>
      <c r="O143" s="95">
        <f t="shared" si="3"/>
        <v>11520</v>
      </c>
      <c r="R143" s="107"/>
    </row>
    <row r="144" spans="1:18" x14ac:dyDescent="0.2">
      <c r="A144" s="103" t="s">
        <v>233</v>
      </c>
      <c r="B144" s="105" t="s">
        <v>191</v>
      </c>
      <c r="C144" s="95">
        <v>1000</v>
      </c>
      <c r="D144" s="95">
        <v>0</v>
      </c>
      <c r="E144" s="95">
        <v>0</v>
      </c>
      <c r="F144" s="95">
        <v>0</v>
      </c>
      <c r="G144" s="95">
        <v>0</v>
      </c>
      <c r="H144" s="95">
        <v>0</v>
      </c>
      <c r="I144" s="95">
        <v>0</v>
      </c>
      <c r="J144" s="95">
        <v>0</v>
      </c>
      <c r="K144" s="95">
        <v>0</v>
      </c>
      <c r="L144" s="95">
        <v>0</v>
      </c>
      <c r="M144" s="95">
        <v>0</v>
      </c>
      <c r="N144" s="95">
        <v>0</v>
      </c>
      <c r="O144" s="98">
        <f>SUM(C144:N144)-200</f>
        <v>800</v>
      </c>
      <c r="Q144" s="90">
        <v>500</v>
      </c>
      <c r="R144" s="107">
        <f t="shared" si="4"/>
        <v>0.6</v>
      </c>
    </row>
    <row r="145" spans="1:19" x14ac:dyDescent="0.2">
      <c r="A145" s="103">
        <v>5363</v>
      </c>
      <c r="B145" s="105" t="s">
        <v>192</v>
      </c>
      <c r="C145" s="95">
        <v>1250</v>
      </c>
      <c r="D145" s="95">
        <v>1250</v>
      </c>
      <c r="E145" s="95">
        <v>1250</v>
      </c>
      <c r="F145" s="95">
        <v>1250</v>
      </c>
      <c r="G145" s="95">
        <v>1250</v>
      </c>
      <c r="H145" s="95">
        <v>1250</v>
      </c>
      <c r="I145" s="95">
        <v>1250</v>
      </c>
      <c r="J145" s="95">
        <v>1250</v>
      </c>
      <c r="K145" s="95">
        <v>1250</v>
      </c>
      <c r="L145" s="95">
        <v>1250</v>
      </c>
      <c r="M145" s="95">
        <v>1250</v>
      </c>
      <c r="N145" s="95">
        <v>1250</v>
      </c>
      <c r="O145" s="95">
        <f t="shared" ref="O145:O154" si="5">SUM(C145:N145)</f>
        <v>15000</v>
      </c>
      <c r="Q145" s="90">
        <v>15000</v>
      </c>
      <c r="R145" s="107">
        <f t="shared" si="4"/>
        <v>0</v>
      </c>
    </row>
    <row r="146" spans="1:19" x14ac:dyDescent="0.2">
      <c r="A146" s="103">
        <v>5356</v>
      </c>
      <c r="B146" s="105" t="s">
        <v>193</v>
      </c>
      <c r="C146" s="95">
        <v>687.5</v>
      </c>
      <c r="D146" s="95">
        <v>87.5</v>
      </c>
      <c r="E146" s="95">
        <v>337.5</v>
      </c>
      <c r="F146" s="95">
        <v>87.5</v>
      </c>
      <c r="G146" s="95">
        <v>87.5</v>
      </c>
      <c r="H146" s="95">
        <v>687.5</v>
      </c>
      <c r="I146" s="95">
        <v>87.5</v>
      </c>
      <c r="J146" s="95">
        <v>87.5</v>
      </c>
      <c r="K146" s="95">
        <v>87.5</v>
      </c>
      <c r="L146" s="95">
        <v>87.5</v>
      </c>
      <c r="M146" s="95">
        <v>87.5</v>
      </c>
      <c r="N146" s="95">
        <v>87.5</v>
      </c>
      <c r="O146" s="99">
        <f>SUM(C146:N146)-500</f>
        <v>2000</v>
      </c>
      <c r="Q146" s="90">
        <v>1125</v>
      </c>
      <c r="R146" s="107">
        <f t="shared" ref="R146:R155" si="6">(O146-Q146)/Q146</f>
        <v>0.77777777777777779</v>
      </c>
    </row>
    <row r="147" spans="1:19" x14ac:dyDescent="0.2">
      <c r="A147" s="103">
        <v>5364</v>
      </c>
      <c r="B147" s="105" t="s">
        <v>194</v>
      </c>
      <c r="C147" s="95">
        <v>2100</v>
      </c>
      <c r="D147" s="95">
        <v>2100</v>
      </c>
      <c r="E147" s="95">
        <v>2100</v>
      </c>
      <c r="F147" s="95">
        <v>2100</v>
      </c>
      <c r="G147" s="95">
        <v>2100</v>
      </c>
      <c r="H147" s="95">
        <v>2100</v>
      </c>
      <c r="I147" s="95">
        <v>2100</v>
      </c>
      <c r="J147" s="95">
        <v>2100</v>
      </c>
      <c r="K147" s="95">
        <v>2100</v>
      </c>
      <c r="L147" s="95">
        <v>2100</v>
      </c>
      <c r="M147" s="95">
        <v>2100</v>
      </c>
      <c r="N147" s="95">
        <v>2100</v>
      </c>
      <c r="O147" s="95">
        <f t="shared" si="5"/>
        <v>25200</v>
      </c>
      <c r="Q147" s="90">
        <v>29925</v>
      </c>
      <c r="R147" s="107">
        <f t="shared" si="6"/>
        <v>-0.15789473684210525</v>
      </c>
    </row>
    <row r="148" spans="1:19" hidden="1" x14ac:dyDescent="0.2">
      <c r="A148" s="103">
        <v>5422</v>
      </c>
      <c r="B148" s="108" t="s">
        <v>195</v>
      </c>
      <c r="C148" s="95"/>
      <c r="D148" s="95"/>
      <c r="E148" s="95"/>
      <c r="F148" s="95"/>
      <c r="G148" s="95"/>
      <c r="H148" s="95"/>
      <c r="I148" s="95"/>
      <c r="J148" s="95"/>
      <c r="K148" s="95"/>
      <c r="L148" s="95"/>
      <c r="M148" s="95"/>
      <c r="N148" s="95"/>
      <c r="O148" s="95">
        <f t="shared" si="5"/>
        <v>0</v>
      </c>
      <c r="R148" s="107" t="e">
        <f t="shared" si="6"/>
        <v>#DIV/0!</v>
      </c>
    </row>
    <row r="149" spans="1:19" ht="12" x14ac:dyDescent="0.25">
      <c r="A149" s="115" t="s">
        <v>234</v>
      </c>
      <c r="B149" s="116" t="s">
        <v>35</v>
      </c>
      <c r="C149" s="95">
        <v>886.28</v>
      </c>
      <c r="D149" s="95">
        <v>886.28</v>
      </c>
      <c r="E149" s="95">
        <v>886.28</v>
      </c>
      <c r="F149" s="95">
        <v>886.28</v>
      </c>
      <c r="G149" s="95">
        <v>886.28</v>
      </c>
      <c r="H149" s="95">
        <v>886.28</v>
      </c>
      <c r="I149" s="95">
        <v>886.28</v>
      </c>
      <c r="J149" s="95">
        <v>886.28</v>
      </c>
      <c r="K149" s="95">
        <v>886.28</v>
      </c>
      <c r="L149" s="95">
        <v>886.28</v>
      </c>
      <c r="M149" s="95">
        <v>886.28</v>
      </c>
      <c r="N149" s="95">
        <v>886.28</v>
      </c>
      <c r="O149" s="95">
        <f t="shared" si="5"/>
        <v>10635.36</v>
      </c>
      <c r="Q149" s="90">
        <v>10740</v>
      </c>
      <c r="R149" s="107">
        <f t="shared" si="6"/>
        <v>-9.7430167597764815E-3</v>
      </c>
    </row>
    <row r="150" spans="1:19" x14ac:dyDescent="0.2">
      <c r="A150" s="103">
        <v>5208</v>
      </c>
      <c r="B150" s="105" t="s">
        <v>196</v>
      </c>
      <c r="C150" s="95">
        <v>1100</v>
      </c>
      <c r="D150" s="95">
        <v>1100</v>
      </c>
      <c r="E150" s="95">
        <v>1100</v>
      </c>
      <c r="F150" s="95">
        <v>1100</v>
      </c>
      <c r="G150" s="95">
        <v>1100</v>
      </c>
      <c r="H150" s="95">
        <v>1100</v>
      </c>
      <c r="I150" s="95">
        <v>1100</v>
      </c>
      <c r="J150" s="95">
        <v>1100</v>
      </c>
      <c r="K150" s="95">
        <v>1100</v>
      </c>
      <c r="L150" s="95">
        <v>5350</v>
      </c>
      <c r="M150" s="95">
        <v>4030</v>
      </c>
      <c r="N150" s="95">
        <v>1100</v>
      </c>
      <c r="O150" s="98">
        <f>SUM(C150:N150)-6000</f>
        <v>14380</v>
      </c>
      <c r="Q150" s="90">
        <v>12875</v>
      </c>
      <c r="R150" s="107">
        <f t="shared" si="6"/>
        <v>0.11689320388349514</v>
      </c>
    </row>
    <row r="151" spans="1:19" x14ac:dyDescent="0.2">
      <c r="A151" s="103">
        <v>5120</v>
      </c>
      <c r="B151" s="105" t="s">
        <v>197</v>
      </c>
      <c r="C151" s="95">
        <v>50</v>
      </c>
      <c r="D151" s="95">
        <v>50</v>
      </c>
      <c r="E151" s="95">
        <v>70</v>
      </c>
      <c r="F151" s="95">
        <v>70</v>
      </c>
      <c r="G151" s="95">
        <v>50</v>
      </c>
      <c r="H151" s="95">
        <v>50</v>
      </c>
      <c r="I151" s="95">
        <v>70</v>
      </c>
      <c r="J151" s="95">
        <v>70</v>
      </c>
      <c r="K151" s="95">
        <v>50</v>
      </c>
      <c r="L151" s="95">
        <v>50</v>
      </c>
      <c r="M151" s="95">
        <v>70</v>
      </c>
      <c r="N151" s="95">
        <v>70</v>
      </c>
      <c r="O151" s="95">
        <f t="shared" si="5"/>
        <v>720</v>
      </c>
      <c r="Q151" s="90">
        <v>1000</v>
      </c>
      <c r="R151" s="107">
        <f t="shared" si="6"/>
        <v>-0.28000000000000003</v>
      </c>
    </row>
    <row r="152" spans="1:19" x14ac:dyDescent="0.2">
      <c r="A152" s="103" t="s">
        <v>228</v>
      </c>
      <c r="B152" s="105" t="s">
        <v>198</v>
      </c>
      <c r="C152" s="95">
        <v>4565.2</v>
      </c>
      <c r="D152" s="95">
        <v>4565.2</v>
      </c>
      <c r="E152" s="95">
        <v>4565.2</v>
      </c>
      <c r="F152" s="95">
        <v>4565.2</v>
      </c>
      <c r="G152" s="95">
        <v>4565.2</v>
      </c>
      <c r="H152" s="95">
        <v>4565.2</v>
      </c>
      <c r="I152" s="95">
        <v>0</v>
      </c>
      <c r="J152" s="95">
        <v>0</v>
      </c>
      <c r="K152" s="95">
        <v>0</v>
      </c>
      <c r="L152" s="95">
        <v>4793.46</v>
      </c>
      <c r="M152" s="95">
        <v>4793.46</v>
      </c>
      <c r="N152" s="95">
        <v>4793.46</v>
      </c>
      <c r="O152" s="95">
        <f t="shared" si="5"/>
        <v>41771.58</v>
      </c>
      <c r="Q152" s="90">
        <v>39400</v>
      </c>
      <c r="R152" s="107">
        <f t="shared" si="6"/>
        <v>6.0192385786802076E-2</v>
      </c>
    </row>
    <row r="153" spans="1:19" x14ac:dyDescent="0.2">
      <c r="B153" s="102" t="s">
        <v>235</v>
      </c>
      <c r="C153" s="95">
        <v>4472.9799999999996</v>
      </c>
      <c r="D153" s="95">
        <v>4390.09</v>
      </c>
      <c r="E153" s="95">
        <v>4407.1000000000004</v>
      </c>
      <c r="F153" s="95">
        <v>4522.74</v>
      </c>
      <c r="G153" s="95">
        <v>4441.7</v>
      </c>
      <c r="H153" s="95">
        <v>4556.3599999999997</v>
      </c>
      <c r="I153" s="95">
        <v>4476.57</v>
      </c>
      <c r="J153" s="95">
        <v>4493.92</v>
      </c>
      <c r="K153" s="95">
        <v>4798.6000000000004</v>
      </c>
      <c r="L153" s="95">
        <v>4529.92</v>
      </c>
      <c r="M153" s="95">
        <v>4642.07</v>
      </c>
      <c r="N153" s="95">
        <v>4565.47</v>
      </c>
      <c r="O153" s="95">
        <f t="shared" si="5"/>
        <v>54297.52</v>
      </c>
      <c r="Q153" s="90">
        <v>50024</v>
      </c>
      <c r="R153" s="107">
        <f t="shared" si="6"/>
        <v>8.5429393890932293E-2</v>
      </c>
    </row>
    <row r="154" spans="1:19" x14ac:dyDescent="0.2">
      <c r="B154" s="102" t="s">
        <v>236</v>
      </c>
      <c r="C154" s="95">
        <v>8000</v>
      </c>
      <c r="D154" s="95">
        <v>8000</v>
      </c>
      <c r="E154" s="95">
        <v>7500</v>
      </c>
      <c r="F154" s="95">
        <v>7500</v>
      </c>
      <c r="G154" s="95">
        <v>7000</v>
      </c>
      <c r="H154" s="95">
        <v>7000</v>
      </c>
      <c r="I154" s="95">
        <v>7000</v>
      </c>
      <c r="J154" s="95">
        <v>7000</v>
      </c>
      <c r="K154" s="95">
        <v>7500</v>
      </c>
      <c r="L154" s="95">
        <v>7500</v>
      </c>
      <c r="M154" s="95">
        <v>8000</v>
      </c>
      <c r="N154" s="95">
        <v>8000</v>
      </c>
      <c r="O154" s="95">
        <f t="shared" si="5"/>
        <v>90000</v>
      </c>
      <c r="Q154" s="90">
        <v>120000</v>
      </c>
      <c r="R154" s="107">
        <f t="shared" si="6"/>
        <v>-0.25</v>
      </c>
    </row>
    <row r="155" spans="1:19" x14ac:dyDescent="0.2">
      <c r="B155" s="102" t="s">
        <v>237</v>
      </c>
      <c r="C155" s="95">
        <f>475000/12</f>
        <v>39583.333333333336</v>
      </c>
      <c r="D155" s="95">
        <f t="shared" ref="D155:N155" si="7">475000/12</f>
        <v>39583.333333333336</v>
      </c>
      <c r="E155" s="95">
        <f t="shared" si="7"/>
        <v>39583.333333333336</v>
      </c>
      <c r="F155" s="95">
        <f t="shared" si="7"/>
        <v>39583.333333333336</v>
      </c>
      <c r="G155" s="95">
        <f t="shared" si="7"/>
        <v>39583.333333333336</v>
      </c>
      <c r="H155" s="95">
        <f t="shared" si="7"/>
        <v>39583.333333333336</v>
      </c>
      <c r="I155" s="95">
        <f t="shared" si="7"/>
        <v>39583.333333333336</v>
      </c>
      <c r="J155" s="95">
        <f t="shared" si="7"/>
        <v>39583.333333333336</v>
      </c>
      <c r="K155" s="95">
        <f t="shared" si="7"/>
        <v>39583.333333333336</v>
      </c>
      <c r="L155" s="95">
        <f t="shared" si="7"/>
        <v>39583.333333333336</v>
      </c>
      <c r="M155" s="95">
        <f t="shared" si="7"/>
        <v>39583.333333333336</v>
      </c>
      <c r="N155" s="95">
        <f t="shared" si="7"/>
        <v>39583.333333333336</v>
      </c>
      <c r="O155" s="95">
        <v>475000</v>
      </c>
      <c r="Q155" s="90">
        <v>232976</v>
      </c>
      <c r="R155" s="107">
        <f t="shared" si="6"/>
        <v>1.0388366183641233</v>
      </c>
    </row>
    <row r="156" spans="1:19" x14ac:dyDescent="0.2">
      <c r="B156" s="102"/>
      <c r="C156" s="102"/>
      <c r="D156" s="102"/>
      <c r="E156" s="102"/>
      <c r="F156" s="102"/>
      <c r="G156" s="102"/>
      <c r="H156" s="102"/>
      <c r="I156" s="102"/>
      <c r="J156" s="102"/>
      <c r="K156" s="102"/>
      <c r="L156" s="102"/>
      <c r="M156" s="102"/>
      <c r="N156" s="102"/>
      <c r="O156" s="102"/>
    </row>
    <row r="157" spans="1:19" x14ac:dyDescent="0.2">
      <c r="B157" s="102" t="s">
        <v>238</v>
      </c>
      <c r="C157" s="95">
        <f t="shared" ref="C157:O157" si="8">SUM(C80:C156)</f>
        <v>297284.0735</v>
      </c>
      <c r="D157" s="95">
        <f t="shared" si="8"/>
        <v>248879.58099999998</v>
      </c>
      <c r="E157" s="95">
        <f t="shared" si="8"/>
        <v>268558.83100000001</v>
      </c>
      <c r="F157" s="95">
        <f t="shared" si="8"/>
        <v>252182.1735</v>
      </c>
      <c r="G157" s="95">
        <f t="shared" si="8"/>
        <v>243413.65350000001</v>
      </c>
      <c r="H157" s="95">
        <f t="shared" si="8"/>
        <v>288167.6335</v>
      </c>
      <c r="I157" s="95">
        <f t="shared" si="8"/>
        <v>244752.91100000002</v>
      </c>
      <c r="J157" s="95">
        <f t="shared" si="8"/>
        <v>242751.31850000002</v>
      </c>
      <c r="K157" s="95">
        <f t="shared" si="8"/>
        <v>280992.38249999995</v>
      </c>
      <c r="L157" s="95">
        <f t="shared" si="8"/>
        <v>256741.72312500002</v>
      </c>
      <c r="M157" s="95">
        <f t="shared" si="8"/>
        <v>245429.27849999999</v>
      </c>
      <c r="N157" s="95">
        <f t="shared" si="8"/>
        <v>269738.09849999996</v>
      </c>
      <c r="O157" s="95">
        <f t="shared" si="8"/>
        <v>3070418.6381250001</v>
      </c>
    </row>
    <row r="158" spans="1:19" x14ac:dyDescent="0.2">
      <c r="C158" s="91"/>
      <c r="D158" s="91"/>
      <c r="E158" s="91"/>
      <c r="F158" s="91"/>
      <c r="G158" s="91"/>
      <c r="H158" s="91"/>
      <c r="I158" s="91"/>
      <c r="J158" s="91"/>
      <c r="K158" s="91"/>
      <c r="L158" s="91"/>
      <c r="M158" s="91"/>
      <c r="N158" s="91"/>
      <c r="O158" s="91"/>
    </row>
    <row r="159" spans="1:19" x14ac:dyDescent="0.2">
      <c r="B159" s="102" t="s">
        <v>239</v>
      </c>
      <c r="C159" s="95">
        <f t="shared" ref="C159:O159" si="9">C77-C157</f>
        <v>-74027.073499999999</v>
      </c>
      <c r="D159" s="95">
        <f t="shared" si="9"/>
        <v>-9092.5809999999765</v>
      </c>
      <c r="E159" s="95">
        <f t="shared" si="9"/>
        <v>-52641.831000000006</v>
      </c>
      <c r="F159" s="95">
        <f t="shared" si="9"/>
        <v>-50735.173500000004</v>
      </c>
      <c r="G159" s="95">
        <f t="shared" si="9"/>
        <v>-25401.653500000015</v>
      </c>
      <c r="H159" s="95">
        <f t="shared" si="9"/>
        <v>19874.366500000004</v>
      </c>
      <c r="I159" s="95">
        <f t="shared" si="9"/>
        <v>-11865.911000000022</v>
      </c>
      <c r="J159" s="95">
        <f t="shared" si="9"/>
        <v>-17669.318500000023</v>
      </c>
      <c r="K159" s="95">
        <f t="shared" si="9"/>
        <v>-49040.382499999949</v>
      </c>
      <c r="L159" s="95">
        <f t="shared" si="9"/>
        <v>-38804.723125000019</v>
      </c>
      <c r="M159" s="95">
        <f t="shared" si="9"/>
        <v>-41942.278499999986</v>
      </c>
      <c r="N159" s="95">
        <f t="shared" si="9"/>
        <v>388953.90150000004</v>
      </c>
      <c r="O159" s="95">
        <f t="shared" si="9"/>
        <v>6071.3618749999441</v>
      </c>
      <c r="Q159" s="91"/>
      <c r="R159" s="90"/>
    </row>
    <row r="160" spans="1:19" x14ac:dyDescent="0.2">
      <c r="Q160" s="117"/>
      <c r="R160" s="91"/>
      <c r="S160" s="90"/>
    </row>
    <row r="161" spans="2:19" x14ac:dyDescent="0.2">
      <c r="B161" s="89" t="s">
        <v>240</v>
      </c>
      <c r="O161" s="90">
        <v>-60000</v>
      </c>
      <c r="Q161" s="117"/>
      <c r="R161" s="91"/>
      <c r="S161" s="90"/>
    </row>
    <row r="162" spans="2:19" x14ac:dyDescent="0.2">
      <c r="Q162" s="117"/>
      <c r="R162" s="91"/>
      <c r="S162" s="90"/>
    </row>
    <row r="163" spans="2:19" x14ac:dyDescent="0.2">
      <c r="B163" s="118" t="s">
        <v>241</v>
      </c>
      <c r="C163" s="118"/>
      <c r="Q163" s="89"/>
      <c r="R163" s="117"/>
      <c r="S163" s="90"/>
    </row>
    <row r="164" spans="2:19" x14ac:dyDescent="0.2">
      <c r="B164" s="89" t="s">
        <v>242</v>
      </c>
      <c r="C164" s="119"/>
      <c r="O164" s="91">
        <v>52000</v>
      </c>
      <c r="Q164" s="89"/>
      <c r="R164" s="117"/>
      <c r="S164" s="90"/>
    </row>
    <row r="165" spans="2:19" x14ac:dyDescent="0.2">
      <c r="B165" s="89" t="s">
        <v>243</v>
      </c>
      <c r="C165" s="119"/>
      <c r="O165" s="119"/>
      <c r="Q165" s="91"/>
      <c r="R165" s="117"/>
      <c r="S165" s="90"/>
    </row>
    <row r="166" spans="2:19" x14ac:dyDescent="0.2">
      <c r="B166" s="89" t="s">
        <v>244</v>
      </c>
      <c r="Q166" s="117"/>
      <c r="R166" s="91"/>
      <c r="S166" s="90"/>
    </row>
    <row r="167" spans="2:19" ht="12" thickBot="1" x14ac:dyDescent="0.25">
      <c r="O167" s="120">
        <f>O159-O164-O165-O161</f>
        <v>14071.361874999944</v>
      </c>
      <c r="Q167" s="89"/>
      <c r="R167" s="91"/>
      <c r="S167" s="90"/>
    </row>
    <row r="168" spans="2:19" ht="12" thickTop="1" x14ac:dyDescent="0.2">
      <c r="Q168" s="89"/>
      <c r="R168" s="91"/>
      <c r="S168" s="90"/>
    </row>
    <row r="169" spans="2:19" x14ac:dyDescent="0.2">
      <c r="Q169" s="89"/>
      <c r="R169" s="91"/>
      <c r="S169" s="90"/>
    </row>
    <row r="170" spans="2:19" x14ac:dyDescent="0.2">
      <c r="Q170" s="91"/>
      <c r="R170" s="91"/>
      <c r="S170" s="90"/>
    </row>
    <row r="171" spans="2:19" x14ac:dyDescent="0.2">
      <c r="Q171" s="91"/>
      <c r="S171" s="90"/>
    </row>
    <row r="174" spans="2:19" x14ac:dyDescent="0.2">
      <c r="O174" s="89">
        <f>128000-11000-14000-22800</f>
        <v>80200</v>
      </c>
      <c r="Q174" s="90" t="s">
        <v>245</v>
      </c>
      <c r="R174" s="89" t="s">
        <v>246</v>
      </c>
    </row>
    <row r="175" spans="2:19" x14ac:dyDescent="0.2">
      <c r="O175" s="89">
        <f>O174*8</f>
        <v>641600</v>
      </c>
      <c r="Q175" s="90" t="s">
        <v>247</v>
      </c>
      <c r="R175" s="89" t="s">
        <v>248</v>
      </c>
    </row>
    <row r="176" spans="2:19" x14ac:dyDescent="0.2">
      <c r="Q176" s="90">
        <f>4*O174</f>
        <v>320800</v>
      </c>
    </row>
  </sheetData>
  <mergeCells count="1">
    <mergeCell ref="B1:R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2"/>
  <sheetViews>
    <sheetView topLeftCell="B1" zoomScaleNormal="100" workbookViewId="0">
      <pane ySplit="5" topLeftCell="A118" activePane="bottomLeft" state="frozen"/>
      <selection activeCell="AH131" activeCellId="3" sqref="AG82 AH117 AH127 AH131"/>
      <selection pane="bottomLeft" activeCell="B139" sqref="B139"/>
    </sheetView>
  </sheetViews>
  <sheetFormatPr defaultColWidth="9.33203125" defaultRowHeight="14.4" x14ac:dyDescent="0.3"/>
  <cols>
    <col min="1" max="1" width="13.44140625" style="36" bestFit="1" customWidth="1"/>
    <col min="2" max="2" width="40.5546875" style="36" bestFit="1" customWidth="1"/>
    <col min="3" max="14" width="0" style="36" hidden="1" customWidth="1"/>
    <col min="15" max="15" width="13.44140625" style="36" bestFit="1" customWidth="1"/>
    <col min="16" max="24" width="0" style="36" hidden="1" customWidth="1"/>
    <col min="25" max="25" width="11.44140625" style="36" bestFit="1" customWidth="1"/>
    <col min="26" max="26" width="13.44140625" style="36" bestFit="1" customWidth="1"/>
    <col min="27" max="27" width="12.44140625" style="36" bestFit="1" customWidth="1"/>
    <col min="28" max="28" width="11.44140625" style="36" bestFit="1" customWidth="1"/>
    <col min="29" max="29" width="13.44140625" style="36" bestFit="1" customWidth="1"/>
    <col min="30" max="30" width="11.44140625" style="36" bestFit="1" customWidth="1"/>
    <col min="31" max="31" width="13.44140625" style="36" bestFit="1" customWidth="1"/>
    <col min="32" max="32" width="11.6640625" style="36" bestFit="1" customWidth="1"/>
    <col min="33" max="33" width="12.33203125" style="36" bestFit="1" customWidth="1"/>
    <col min="34" max="34" width="13.33203125" style="36" bestFit="1" customWidth="1"/>
    <col min="35" max="16384" width="9.33203125" style="36"/>
  </cols>
  <sheetData>
    <row r="1" spans="1:33" x14ac:dyDescent="0.3">
      <c r="B1" s="36" t="s">
        <v>44</v>
      </c>
    </row>
    <row r="3" spans="1:33" x14ac:dyDescent="0.3">
      <c r="C3" s="36" t="s">
        <v>45</v>
      </c>
      <c r="D3" s="36" t="s">
        <v>46</v>
      </c>
      <c r="E3" s="36" t="s">
        <v>47</v>
      </c>
      <c r="F3" s="36" t="s">
        <v>48</v>
      </c>
      <c r="G3" s="36" t="s">
        <v>49</v>
      </c>
      <c r="H3" s="36" t="s">
        <v>50</v>
      </c>
      <c r="I3" s="36" t="s">
        <v>51</v>
      </c>
      <c r="J3" s="36" t="s">
        <v>52</v>
      </c>
      <c r="K3" s="36" t="s">
        <v>53</v>
      </c>
      <c r="L3" s="36" t="s">
        <v>54</v>
      </c>
      <c r="M3" s="36" t="s">
        <v>55</v>
      </c>
      <c r="N3" s="36" t="s">
        <v>56</v>
      </c>
    </row>
    <row r="5" spans="1:33" x14ac:dyDescent="0.3">
      <c r="B5" s="36" t="s">
        <v>57</v>
      </c>
      <c r="O5" s="36" t="s">
        <v>7</v>
      </c>
      <c r="P5" s="36" t="s">
        <v>58</v>
      </c>
      <c r="Q5" s="36" t="s">
        <v>59</v>
      </c>
      <c r="R5" s="36" t="s">
        <v>60</v>
      </c>
      <c r="S5" s="36" t="s">
        <v>61</v>
      </c>
      <c r="T5" s="36" t="s">
        <v>62</v>
      </c>
      <c r="U5" s="36" t="s">
        <v>63</v>
      </c>
      <c r="V5" s="36" t="s">
        <v>64</v>
      </c>
      <c r="W5" s="36" t="s">
        <v>65</v>
      </c>
      <c r="X5" s="36" t="s">
        <v>66</v>
      </c>
      <c r="Y5" s="36" t="s">
        <v>58</v>
      </c>
      <c r="Z5" s="36" t="s">
        <v>59</v>
      </c>
      <c r="AA5" s="36" t="s">
        <v>60</v>
      </c>
      <c r="AB5" s="36" t="s">
        <v>61</v>
      </c>
      <c r="AC5" s="36" t="s">
        <v>62</v>
      </c>
      <c r="AD5" s="36" t="s">
        <v>63</v>
      </c>
      <c r="AE5" s="36" t="s">
        <v>64</v>
      </c>
      <c r="AF5" s="36" t="s">
        <v>65</v>
      </c>
      <c r="AG5" s="36" t="s">
        <v>66</v>
      </c>
    </row>
    <row r="6" spans="1:33" x14ac:dyDescent="0.3">
      <c r="B6" s="36" t="s">
        <v>67</v>
      </c>
      <c r="C6" s="36">
        <v>15000</v>
      </c>
      <c r="D6" s="36">
        <v>15000</v>
      </c>
      <c r="E6" s="36">
        <v>13500</v>
      </c>
      <c r="F6" s="36">
        <v>8000</v>
      </c>
      <c r="G6" s="36">
        <v>25000</v>
      </c>
      <c r="H6" s="36">
        <v>61500</v>
      </c>
      <c r="I6" s="36">
        <v>30000</v>
      </c>
      <c r="J6" s="36">
        <v>6500</v>
      </c>
      <c r="K6" s="36">
        <v>8000</v>
      </c>
      <c r="L6" s="36">
        <v>6500</v>
      </c>
      <c r="M6" s="36">
        <v>8500</v>
      </c>
      <c r="N6" s="36">
        <v>8500</v>
      </c>
      <c r="O6" s="36">
        <v>206000</v>
      </c>
      <c r="AF6" s="36">
        <v>206000</v>
      </c>
    </row>
    <row r="7" spans="1:33" x14ac:dyDescent="0.3">
      <c r="B7" s="36" t="s">
        <v>68</v>
      </c>
      <c r="C7" s="36">
        <v>20000</v>
      </c>
      <c r="D7" s="36">
        <v>25000</v>
      </c>
      <c r="E7" s="36">
        <v>12500</v>
      </c>
      <c r="F7" s="36">
        <v>6000</v>
      </c>
      <c r="G7" s="36">
        <v>31000</v>
      </c>
      <c r="H7" s="36">
        <v>38000</v>
      </c>
      <c r="I7" s="36">
        <v>25000</v>
      </c>
      <c r="J7" s="36">
        <v>20000</v>
      </c>
      <c r="K7" s="36">
        <v>10000</v>
      </c>
      <c r="L7" s="36">
        <v>12500</v>
      </c>
      <c r="M7" s="36">
        <v>10000</v>
      </c>
      <c r="N7" s="36">
        <v>5000</v>
      </c>
      <c r="O7" s="36">
        <v>175000</v>
      </c>
      <c r="AF7" s="36">
        <v>175000</v>
      </c>
    </row>
    <row r="8" spans="1:33" x14ac:dyDescent="0.3">
      <c r="B8" s="36" t="s">
        <v>69</v>
      </c>
      <c r="O8" s="36">
        <v>0</v>
      </c>
    </row>
    <row r="9" spans="1:33" x14ac:dyDescent="0.3">
      <c r="B9" s="36" t="s">
        <v>70</v>
      </c>
      <c r="O9" s="36">
        <v>0</v>
      </c>
    </row>
    <row r="10" spans="1:33" x14ac:dyDescent="0.3">
      <c r="B10" s="36" t="s">
        <v>71</v>
      </c>
      <c r="C10" s="36">
        <v>250</v>
      </c>
      <c r="D10" s="36">
        <v>250</v>
      </c>
      <c r="E10" s="36">
        <v>250</v>
      </c>
      <c r="F10" s="36">
        <v>250</v>
      </c>
      <c r="G10" s="36">
        <v>250</v>
      </c>
      <c r="H10" s="36">
        <v>250</v>
      </c>
      <c r="I10" s="36">
        <v>250</v>
      </c>
      <c r="J10" s="36">
        <v>250</v>
      </c>
      <c r="K10" s="36">
        <v>250</v>
      </c>
      <c r="L10" s="36">
        <v>250</v>
      </c>
      <c r="M10" s="36">
        <v>250</v>
      </c>
      <c r="N10" s="36">
        <v>38250</v>
      </c>
      <c r="O10" s="36">
        <v>41000</v>
      </c>
      <c r="AF10" s="36">
        <v>41000</v>
      </c>
    </row>
    <row r="11" spans="1:33" x14ac:dyDescent="0.3">
      <c r="B11" s="36" t="s">
        <v>72</v>
      </c>
      <c r="O11" s="36">
        <v>0</v>
      </c>
    </row>
    <row r="12" spans="1:33" x14ac:dyDescent="0.3">
      <c r="A12" s="36">
        <f>SUM(O6:O12)</f>
        <v>434000</v>
      </c>
      <c r="B12" s="36" t="s">
        <v>73</v>
      </c>
      <c r="C12" s="36">
        <v>1000</v>
      </c>
      <c r="D12" s="36">
        <v>1000</v>
      </c>
      <c r="E12" s="36">
        <v>1000</v>
      </c>
      <c r="F12" s="36">
        <v>1000</v>
      </c>
      <c r="G12" s="36">
        <v>1000</v>
      </c>
      <c r="H12" s="36">
        <v>1000</v>
      </c>
      <c r="I12" s="36">
        <v>1000</v>
      </c>
      <c r="J12" s="36">
        <v>1000</v>
      </c>
      <c r="K12" s="36">
        <v>1000</v>
      </c>
      <c r="L12" s="36">
        <v>1000</v>
      </c>
      <c r="M12" s="36">
        <v>1000</v>
      </c>
      <c r="N12" s="36">
        <v>1000</v>
      </c>
      <c r="O12" s="36">
        <v>12000</v>
      </c>
      <c r="AF12" s="36">
        <v>12000</v>
      </c>
    </row>
    <row r="13" spans="1:33" hidden="1" x14ac:dyDescent="0.3">
      <c r="B13" s="36" t="s">
        <v>74</v>
      </c>
      <c r="C13" s="36">
        <v>0</v>
      </c>
      <c r="D13" s="36">
        <v>0</v>
      </c>
      <c r="E13" s="36">
        <v>0</v>
      </c>
      <c r="F13" s="36">
        <v>0</v>
      </c>
      <c r="G13" s="36">
        <v>0</v>
      </c>
      <c r="H13" s="36">
        <v>0</v>
      </c>
      <c r="I13" s="36">
        <v>0</v>
      </c>
      <c r="J13" s="36">
        <v>0</v>
      </c>
      <c r="K13" s="36">
        <v>0</v>
      </c>
      <c r="L13" s="36">
        <v>0</v>
      </c>
      <c r="M13" s="36">
        <v>0</v>
      </c>
      <c r="N13" s="36">
        <v>0</v>
      </c>
      <c r="O13" s="36">
        <v>0</v>
      </c>
    </row>
    <row r="14" spans="1:33" hidden="1" x14ac:dyDescent="0.3">
      <c r="B14" s="36" t="s">
        <v>75</v>
      </c>
      <c r="O14" s="36">
        <v>0</v>
      </c>
    </row>
    <row r="15" spans="1:33" hidden="1" x14ac:dyDescent="0.3">
      <c r="B15" s="36" t="s">
        <v>76</v>
      </c>
      <c r="O15" s="36">
        <v>0</v>
      </c>
    </row>
    <row r="16" spans="1:33" hidden="1" x14ac:dyDescent="0.3">
      <c r="B16" s="36" t="s">
        <v>77</v>
      </c>
      <c r="O16" s="36">
        <v>0</v>
      </c>
    </row>
    <row r="17" spans="2:32" hidden="1" x14ac:dyDescent="0.3">
      <c r="B17" s="36" t="s">
        <v>78</v>
      </c>
      <c r="O17" s="36">
        <v>0</v>
      </c>
    </row>
    <row r="18" spans="2:32" hidden="1" x14ac:dyDescent="0.3">
      <c r="B18" s="36" t="s">
        <v>79</v>
      </c>
      <c r="O18" s="36">
        <v>0</v>
      </c>
    </row>
    <row r="19" spans="2:32" hidden="1" x14ac:dyDescent="0.3">
      <c r="B19" s="36" t="s">
        <v>80</v>
      </c>
      <c r="O19" s="36">
        <v>0</v>
      </c>
    </row>
    <row r="20" spans="2:32" hidden="1" x14ac:dyDescent="0.3">
      <c r="B20" s="36" t="s">
        <v>81</v>
      </c>
      <c r="O20" s="36">
        <v>0</v>
      </c>
    </row>
    <row r="21" spans="2:32" hidden="1" x14ac:dyDescent="0.3">
      <c r="B21" s="36" t="s">
        <v>82</v>
      </c>
      <c r="O21" s="36">
        <v>0</v>
      </c>
    </row>
    <row r="22" spans="2:32" hidden="1" x14ac:dyDescent="0.3">
      <c r="B22" s="36" t="s">
        <v>83</v>
      </c>
      <c r="O22" s="36">
        <v>0</v>
      </c>
    </row>
    <row r="23" spans="2:32" hidden="1" x14ac:dyDescent="0.3">
      <c r="B23" s="36" t="s">
        <v>84</v>
      </c>
      <c r="O23" s="36">
        <v>0</v>
      </c>
    </row>
    <row r="24" spans="2:32" hidden="1" x14ac:dyDescent="0.3">
      <c r="B24" s="36" t="s">
        <v>85</v>
      </c>
      <c r="O24" s="36">
        <v>0</v>
      </c>
    </row>
    <row r="25" spans="2:32" hidden="1" x14ac:dyDescent="0.3">
      <c r="B25" s="36" t="s">
        <v>86</v>
      </c>
      <c r="O25" s="36">
        <v>0</v>
      </c>
    </row>
    <row r="26" spans="2:32" hidden="1" x14ac:dyDescent="0.3">
      <c r="B26" s="36" t="s">
        <v>87</v>
      </c>
      <c r="O26" s="36">
        <v>0</v>
      </c>
    </row>
    <row r="27" spans="2:32" x14ac:dyDescent="0.3">
      <c r="O27" s="36">
        <v>0</v>
      </c>
    </row>
    <row r="28" spans="2:32" x14ac:dyDescent="0.3">
      <c r="O28" s="36">
        <v>0</v>
      </c>
    </row>
    <row r="29" spans="2:32" x14ac:dyDescent="0.3">
      <c r="B29" s="36" t="s">
        <v>88</v>
      </c>
      <c r="C29" s="36">
        <v>0</v>
      </c>
      <c r="D29" s="36">
        <v>0</v>
      </c>
      <c r="E29" s="36">
        <v>0</v>
      </c>
      <c r="F29" s="36">
        <v>0</v>
      </c>
      <c r="G29" s="36">
        <v>0</v>
      </c>
      <c r="H29" s="36">
        <v>0</v>
      </c>
      <c r="I29" s="36">
        <v>0</v>
      </c>
      <c r="J29" s="36">
        <v>0</v>
      </c>
      <c r="K29" s="36">
        <v>0</v>
      </c>
      <c r="L29" s="36">
        <v>0</v>
      </c>
      <c r="M29" s="36">
        <v>0</v>
      </c>
      <c r="N29" s="36">
        <v>300000</v>
      </c>
      <c r="O29" s="36">
        <v>300000</v>
      </c>
      <c r="AF29" s="36">
        <v>300000</v>
      </c>
    </row>
    <row r="30" spans="2:32" x14ac:dyDescent="0.3">
      <c r="B30" s="36" t="s">
        <v>89</v>
      </c>
      <c r="C30" s="36">
        <v>0</v>
      </c>
      <c r="D30" s="36">
        <v>0</v>
      </c>
      <c r="E30" s="36">
        <v>0</v>
      </c>
      <c r="F30" s="36">
        <v>0</v>
      </c>
      <c r="G30" s="36">
        <v>0</v>
      </c>
      <c r="H30" s="36">
        <v>10000</v>
      </c>
      <c r="I30" s="36">
        <v>6500</v>
      </c>
      <c r="J30" s="36">
        <v>0</v>
      </c>
      <c r="K30" s="36">
        <v>10000</v>
      </c>
      <c r="L30" s="36">
        <v>0</v>
      </c>
      <c r="M30" s="36">
        <v>0</v>
      </c>
      <c r="N30" s="36">
        <v>0</v>
      </c>
      <c r="O30" s="36">
        <v>26500</v>
      </c>
      <c r="AF30" s="36">
        <v>26500</v>
      </c>
    </row>
    <row r="31" spans="2:32" x14ac:dyDescent="0.3">
      <c r="B31" s="36" t="s">
        <v>90</v>
      </c>
      <c r="C31" s="36">
        <v>0</v>
      </c>
      <c r="D31" s="36">
        <v>-1000</v>
      </c>
      <c r="E31" s="36">
        <v>0</v>
      </c>
      <c r="F31" s="36">
        <v>0</v>
      </c>
      <c r="G31" s="36">
        <v>-1000</v>
      </c>
      <c r="H31" s="36">
        <v>0</v>
      </c>
      <c r="I31" s="36">
        <v>0</v>
      </c>
      <c r="J31" s="36">
        <v>0</v>
      </c>
      <c r="K31" s="36">
        <v>0</v>
      </c>
      <c r="L31" s="36">
        <v>0</v>
      </c>
      <c r="M31" s="36">
        <v>0</v>
      </c>
      <c r="N31" s="36">
        <v>0</v>
      </c>
      <c r="O31" s="36">
        <v>-2000</v>
      </c>
      <c r="AF31" s="36">
        <v>-2000</v>
      </c>
    </row>
    <row r="32" spans="2:32" x14ac:dyDescent="0.3">
      <c r="B32" s="36" t="s">
        <v>91</v>
      </c>
      <c r="O32" s="36">
        <v>0</v>
      </c>
    </row>
    <row r="33" spans="1:32" x14ac:dyDescent="0.3">
      <c r="B33" s="36" t="s">
        <v>92</v>
      </c>
      <c r="O33" s="36">
        <v>0</v>
      </c>
    </row>
    <row r="34" spans="1:32" x14ac:dyDescent="0.3">
      <c r="B34" s="36" t="s">
        <v>93</v>
      </c>
      <c r="O34" s="36">
        <v>0</v>
      </c>
    </row>
    <row r="35" spans="1:32" x14ac:dyDescent="0.3">
      <c r="B35" s="36" t="s">
        <v>94</v>
      </c>
      <c r="O35" s="36">
        <v>0</v>
      </c>
    </row>
    <row r="36" spans="1:32" x14ac:dyDescent="0.3">
      <c r="B36" s="36" t="s">
        <v>95</v>
      </c>
      <c r="C36" s="36">
        <v>0</v>
      </c>
      <c r="D36" s="36">
        <v>5000</v>
      </c>
      <c r="E36" s="36">
        <v>8750</v>
      </c>
      <c r="F36" s="36">
        <v>0</v>
      </c>
      <c r="G36" s="36">
        <v>0</v>
      </c>
      <c r="H36" s="36">
        <v>15250</v>
      </c>
      <c r="I36" s="36">
        <v>0</v>
      </c>
      <c r="J36" s="36">
        <v>15000</v>
      </c>
      <c r="K36" s="36">
        <v>3750</v>
      </c>
      <c r="L36" s="36">
        <v>0</v>
      </c>
      <c r="M36" s="36">
        <v>0</v>
      </c>
      <c r="N36" s="36">
        <v>28750</v>
      </c>
      <c r="O36" s="36">
        <v>76500</v>
      </c>
      <c r="AF36" s="36">
        <v>76500</v>
      </c>
    </row>
    <row r="37" spans="1:32" x14ac:dyDescent="0.3">
      <c r="A37" s="36">
        <f>SUM(O29:O37)</f>
        <v>431000</v>
      </c>
      <c r="B37" s="36" t="s">
        <v>96</v>
      </c>
      <c r="C37" s="36">
        <v>0</v>
      </c>
      <c r="D37" s="36">
        <v>0</v>
      </c>
      <c r="E37" s="36">
        <v>0</v>
      </c>
      <c r="F37" s="36">
        <v>0</v>
      </c>
      <c r="G37" s="36">
        <v>0</v>
      </c>
      <c r="H37" s="36">
        <v>0</v>
      </c>
      <c r="I37" s="36">
        <v>0</v>
      </c>
      <c r="J37" s="36">
        <v>15000</v>
      </c>
      <c r="K37" s="36">
        <v>0</v>
      </c>
      <c r="L37" s="36">
        <v>15000</v>
      </c>
      <c r="M37" s="36">
        <v>0</v>
      </c>
      <c r="N37" s="36">
        <v>0</v>
      </c>
      <c r="O37" s="36">
        <v>30000</v>
      </c>
      <c r="AF37" s="36">
        <v>30000</v>
      </c>
    </row>
    <row r="38" spans="1:32" x14ac:dyDescent="0.3">
      <c r="O38" s="36">
        <v>0</v>
      </c>
    </row>
    <row r="39" spans="1:32" x14ac:dyDescent="0.3">
      <c r="O39" s="36">
        <v>0</v>
      </c>
    </row>
    <row r="40" spans="1:32" x14ac:dyDescent="0.3">
      <c r="B40" s="36" t="s">
        <v>97</v>
      </c>
      <c r="C40" s="36">
        <v>0</v>
      </c>
      <c r="D40" s="36">
        <v>0</v>
      </c>
      <c r="E40" s="36">
        <v>0</v>
      </c>
      <c r="F40" s="36">
        <v>0</v>
      </c>
      <c r="G40" s="36">
        <v>0</v>
      </c>
      <c r="H40" s="36">
        <v>0</v>
      </c>
      <c r="I40" s="36">
        <v>0</v>
      </c>
      <c r="J40" s="36">
        <v>0</v>
      </c>
      <c r="K40" s="36">
        <v>0</v>
      </c>
      <c r="L40" s="36">
        <v>0</v>
      </c>
      <c r="M40" s="36">
        <v>0</v>
      </c>
      <c r="N40" s="36">
        <v>0</v>
      </c>
      <c r="O40" s="36">
        <v>0</v>
      </c>
    </row>
    <row r="41" spans="1:32" x14ac:dyDescent="0.3">
      <c r="B41" s="36" t="s">
        <v>98</v>
      </c>
      <c r="C41" s="36">
        <v>0</v>
      </c>
      <c r="D41" s="36">
        <v>0</v>
      </c>
      <c r="E41" s="36">
        <v>1703</v>
      </c>
      <c r="F41" s="36">
        <v>1703</v>
      </c>
      <c r="G41" s="36">
        <v>0</v>
      </c>
      <c r="H41" s="36">
        <v>0</v>
      </c>
      <c r="I41" s="36">
        <v>1703</v>
      </c>
      <c r="J41" s="36">
        <v>1703</v>
      </c>
      <c r="K41" s="36">
        <v>1703</v>
      </c>
      <c r="L41" s="36">
        <v>0</v>
      </c>
      <c r="M41" s="36">
        <v>3406</v>
      </c>
      <c r="N41" s="36">
        <v>0</v>
      </c>
      <c r="O41" s="36">
        <v>11921</v>
      </c>
      <c r="AC41" s="36">
        <v>11921</v>
      </c>
    </row>
    <row r="42" spans="1:32" x14ac:dyDescent="0.3">
      <c r="B42" s="36" t="s">
        <v>99</v>
      </c>
      <c r="O42" s="36">
        <v>0</v>
      </c>
    </row>
    <row r="43" spans="1:32" x14ac:dyDescent="0.3">
      <c r="A43" s="36">
        <f>SUM(O41:O43)</f>
        <v>331696</v>
      </c>
      <c r="B43" s="36" t="s">
        <v>100</v>
      </c>
      <c r="C43" s="36">
        <v>23292.25</v>
      </c>
      <c r="D43" s="36">
        <v>46476.5</v>
      </c>
      <c r="E43" s="36">
        <v>17627.75</v>
      </c>
      <c r="F43" s="36">
        <v>6872</v>
      </c>
      <c r="G43" s="36">
        <v>60086.75</v>
      </c>
      <c r="H43" s="36">
        <v>85630.25</v>
      </c>
      <c r="I43" s="36">
        <v>18577.5</v>
      </c>
      <c r="J43" s="36">
        <v>12787.5</v>
      </c>
      <c r="K43" s="36">
        <v>9139.5</v>
      </c>
      <c r="L43" s="36">
        <v>13203</v>
      </c>
      <c r="M43" s="36">
        <v>25000</v>
      </c>
      <c r="N43" s="36">
        <v>1082</v>
      </c>
      <c r="O43" s="36">
        <v>319775</v>
      </c>
      <c r="AC43" s="36">
        <v>319775</v>
      </c>
    </row>
    <row r="44" spans="1:32" x14ac:dyDescent="0.3">
      <c r="B44" s="36" t="s">
        <v>101</v>
      </c>
      <c r="C44" s="36">
        <v>0</v>
      </c>
      <c r="D44" s="36">
        <v>159000</v>
      </c>
      <c r="E44" s="36">
        <v>160000</v>
      </c>
      <c r="F44" s="36">
        <v>160000</v>
      </c>
      <c r="G44" s="36">
        <v>0</v>
      </c>
      <c r="H44" s="36">
        <v>172000</v>
      </c>
      <c r="I44" s="36">
        <v>0</v>
      </c>
      <c r="J44" s="36">
        <v>0</v>
      </c>
      <c r="K44" s="36">
        <v>0</v>
      </c>
      <c r="L44" s="36">
        <v>303357</v>
      </c>
      <c r="M44" s="36">
        <v>0</v>
      </c>
      <c r="N44" s="36">
        <v>310000</v>
      </c>
      <c r="O44" s="36">
        <v>1264357</v>
      </c>
      <c r="Z44" s="36">
        <v>1264357</v>
      </c>
    </row>
    <row r="45" spans="1:32" x14ac:dyDescent="0.3">
      <c r="A45" s="36">
        <f>SUM(O44:O45)+O57</f>
        <v>1420857</v>
      </c>
      <c r="B45" s="36" t="s">
        <v>102</v>
      </c>
      <c r="C45" s="36">
        <v>0</v>
      </c>
      <c r="D45" s="36">
        <v>-1000</v>
      </c>
      <c r="E45" s="36">
        <v>-1000</v>
      </c>
      <c r="F45" s="36">
        <v>-1000</v>
      </c>
      <c r="G45" s="36">
        <v>0</v>
      </c>
      <c r="H45" s="36">
        <v>-11000</v>
      </c>
      <c r="I45" s="36">
        <v>0</v>
      </c>
      <c r="J45" s="36">
        <v>0</v>
      </c>
      <c r="K45" s="36">
        <v>-10000</v>
      </c>
      <c r="L45" s="36">
        <v>-2000</v>
      </c>
      <c r="M45" s="36">
        <v>0</v>
      </c>
      <c r="N45" s="36">
        <v>-2000</v>
      </c>
      <c r="O45" s="36">
        <v>-28000</v>
      </c>
      <c r="Z45" s="36">
        <v>-28000</v>
      </c>
    </row>
    <row r="46" spans="1:32" x14ac:dyDescent="0.3">
      <c r="A46" s="36">
        <f>O46+O47+O58+O59</f>
        <v>1861710</v>
      </c>
      <c r="B46" s="36" t="s">
        <v>103</v>
      </c>
      <c r="C46" s="36">
        <v>162636.25</v>
      </c>
      <c r="D46" s="36">
        <v>169466.25</v>
      </c>
      <c r="E46" s="36">
        <v>153346.25</v>
      </c>
      <c r="F46" s="36">
        <v>160226.25</v>
      </c>
      <c r="G46" s="36">
        <v>135341.25</v>
      </c>
      <c r="H46" s="36">
        <v>117671.25</v>
      </c>
      <c r="I46" s="36">
        <v>142216.25</v>
      </c>
      <c r="J46" s="36">
        <v>140461.25</v>
      </c>
      <c r="K46" s="36">
        <v>172081.25</v>
      </c>
      <c r="L46" s="36">
        <v>154016.25</v>
      </c>
      <c r="M46" s="36">
        <v>154016.25</v>
      </c>
      <c r="N46" s="36">
        <v>148521.25</v>
      </c>
      <c r="O46" s="36">
        <v>1810000</v>
      </c>
      <c r="AE46" s="36">
        <v>1810000</v>
      </c>
    </row>
    <row r="47" spans="1:32" x14ac:dyDescent="0.3">
      <c r="B47" s="36" t="s">
        <v>104</v>
      </c>
      <c r="C47" s="36">
        <v>30</v>
      </c>
      <c r="D47" s="36">
        <v>30</v>
      </c>
      <c r="E47" s="36">
        <v>30</v>
      </c>
      <c r="F47" s="36">
        <v>30</v>
      </c>
      <c r="G47" s="36">
        <v>30</v>
      </c>
      <c r="H47" s="36">
        <v>30</v>
      </c>
      <c r="I47" s="36">
        <v>30</v>
      </c>
      <c r="J47" s="36">
        <v>30</v>
      </c>
      <c r="K47" s="36">
        <v>30</v>
      </c>
      <c r="L47" s="36">
        <v>30</v>
      </c>
      <c r="M47" s="36">
        <v>30</v>
      </c>
      <c r="N47" s="36">
        <v>30</v>
      </c>
      <c r="O47" s="36">
        <v>360</v>
      </c>
      <c r="AE47" s="36">
        <v>360</v>
      </c>
    </row>
    <row r="48" spans="1:32" x14ac:dyDescent="0.3">
      <c r="B48" s="36" t="s">
        <v>105</v>
      </c>
      <c r="O48" s="36">
        <v>0</v>
      </c>
    </row>
    <row r="49" spans="1:31" x14ac:dyDescent="0.3">
      <c r="B49" s="36" t="s">
        <v>106</v>
      </c>
      <c r="O49" s="36">
        <v>0</v>
      </c>
    </row>
    <row r="50" spans="1:31" hidden="1" x14ac:dyDescent="0.3">
      <c r="O50" s="36">
        <v>0</v>
      </c>
    </row>
    <row r="51" spans="1:31" hidden="1" x14ac:dyDescent="0.3">
      <c r="B51" s="36" t="s">
        <v>107</v>
      </c>
      <c r="O51" s="36">
        <v>0</v>
      </c>
    </row>
    <row r="52" spans="1:31" hidden="1" x14ac:dyDescent="0.3">
      <c r="B52" s="36" t="s">
        <v>108</v>
      </c>
      <c r="O52" s="36">
        <v>0</v>
      </c>
    </row>
    <row r="53" spans="1:31" hidden="1" x14ac:dyDescent="0.3">
      <c r="B53" s="36" t="s">
        <v>109</v>
      </c>
      <c r="O53" s="36">
        <v>0</v>
      </c>
    </row>
    <row r="54" spans="1:31" hidden="1" x14ac:dyDescent="0.3">
      <c r="O54" s="36">
        <v>0</v>
      </c>
    </row>
    <row r="55" spans="1:31" hidden="1" x14ac:dyDescent="0.3">
      <c r="O55" s="36">
        <v>0</v>
      </c>
    </row>
    <row r="56" spans="1:31" hidden="1" x14ac:dyDescent="0.3">
      <c r="B56" s="36" t="s">
        <v>110</v>
      </c>
      <c r="O56" s="36">
        <v>0</v>
      </c>
    </row>
    <row r="57" spans="1:31" x14ac:dyDescent="0.3">
      <c r="B57" s="36" t="s">
        <v>111</v>
      </c>
      <c r="C57" s="36">
        <v>13500</v>
      </c>
      <c r="D57" s="36">
        <v>14000</v>
      </c>
      <c r="E57" s="36">
        <v>14500</v>
      </c>
      <c r="F57" s="36">
        <v>15000</v>
      </c>
      <c r="G57" s="36">
        <v>15000</v>
      </c>
      <c r="H57" s="36">
        <v>15500</v>
      </c>
      <c r="I57" s="36">
        <v>15500</v>
      </c>
      <c r="J57" s="36">
        <v>15500</v>
      </c>
      <c r="K57" s="36">
        <v>15500</v>
      </c>
      <c r="L57" s="36">
        <v>16500</v>
      </c>
      <c r="M57" s="36">
        <v>16500</v>
      </c>
      <c r="N57" s="36">
        <v>17500</v>
      </c>
      <c r="O57" s="36">
        <v>184500</v>
      </c>
      <c r="Z57" s="36">
        <v>184500</v>
      </c>
    </row>
    <row r="58" spans="1:31" x14ac:dyDescent="0.3">
      <c r="B58" s="36" t="s">
        <v>112</v>
      </c>
      <c r="C58" s="36">
        <v>800</v>
      </c>
      <c r="D58" s="36">
        <v>800</v>
      </c>
      <c r="E58" s="36">
        <v>800</v>
      </c>
      <c r="F58" s="36">
        <v>800</v>
      </c>
      <c r="G58" s="36">
        <v>800</v>
      </c>
      <c r="H58" s="36">
        <v>800</v>
      </c>
      <c r="I58" s="36">
        <v>800</v>
      </c>
      <c r="J58" s="36">
        <v>800</v>
      </c>
      <c r="K58" s="36">
        <v>800</v>
      </c>
      <c r="L58" s="36">
        <v>800</v>
      </c>
      <c r="M58" s="36">
        <v>800</v>
      </c>
      <c r="N58" s="36">
        <v>800</v>
      </c>
      <c r="O58" s="36">
        <v>9600</v>
      </c>
      <c r="AE58" s="36">
        <v>9600</v>
      </c>
    </row>
    <row r="59" spans="1:31" x14ac:dyDescent="0.3">
      <c r="B59" s="36" t="s">
        <v>113</v>
      </c>
      <c r="C59" s="36">
        <v>3250</v>
      </c>
      <c r="D59" s="36">
        <v>3500</v>
      </c>
      <c r="E59" s="36">
        <v>3500</v>
      </c>
      <c r="F59" s="36">
        <v>3500</v>
      </c>
      <c r="G59" s="36">
        <v>3500</v>
      </c>
      <c r="H59" s="36">
        <v>3500</v>
      </c>
      <c r="I59" s="36">
        <v>3500</v>
      </c>
      <c r="J59" s="36">
        <v>3500</v>
      </c>
      <c r="K59" s="36">
        <v>3500</v>
      </c>
      <c r="L59" s="36">
        <v>3500</v>
      </c>
      <c r="M59" s="36">
        <v>3500</v>
      </c>
      <c r="N59" s="36">
        <v>3500</v>
      </c>
      <c r="O59" s="36">
        <v>41750</v>
      </c>
      <c r="AE59" s="36">
        <v>41750</v>
      </c>
    </row>
    <row r="60" spans="1:31" x14ac:dyDescent="0.3">
      <c r="B60" s="36" t="s">
        <v>114</v>
      </c>
      <c r="C60" s="36">
        <v>0</v>
      </c>
      <c r="D60" s="36">
        <v>0</v>
      </c>
      <c r="E60" s="36">
        <v>0</v>
      </c>
      <c r="F60" s="36">
        <v>0</v>
      </c>
      <c r="G60" s="36">
        <v>0</v>
      </c>
      <c r="H60" s="36">
        <v>0</v>
      </c>
      <c r="I60" s="36">
        <v>0</v>
      </c>
      <c r="J60" s="36">
        <v>0</v>
      </c>
      <c r="K60" s="36">
        <v>0</v>
      </c>
      <c r="L60" s="36">
        <v>0</v>
      </c>
      <c r="M60" s="36">
        <v>0</v>
      </c>
      <c r="N60" s="36">
        <v>0</v>
      </c>
      <c r="O60" s="36">
        <v>0</v>
      </c>
    </row>
    <row r="61" spans="1:31" x14ac:dyDescent="0.3">
      <c r="B61" s="36" t="s">
        <v>115</v>
      </c>
      <c r="C61" s="36">
        <v>0</v>
      </c>
      <c r="D61" s="36">
        <v>0</v>
      </c>
      <c r="E61" s="36">
        <v>1050</v>
      </c>
      <c r="F61" s="36">
        <v>0</v>
      </c>
      <c r="G61" s="36">
        <v>0</v>
      </c>
      <c r="H61" s="36">
        <v>0</v>
      </c>
      <c r="I61" s="36">
        <v>1050</v>
      </c>
      <c r="J61" s="36">
        <v>0</v>
      </c>
      <c r="K61" s="36">
        <v>0</v>
      </c>
      <c r="L61" s="36">
        <v>0</v>
      </c>
      <c r="M61" s="36">
        <v>1050</v>
      </c>
      <c r="N61" s="36">
        <v>0</v>
      </c>
      <c r="O61" s="36">
        <v>3150</v>
      </c>
      <c r="Y61" s="36">
        <v>3150</v>
      </c>
    </row>
    <row r="62" spans="1:31" x14ac:dyDescent="0.3">
      <c r="A62" s="36">
        <f>SUM(O60:O62)</f>
        <v>3990</v>
      </c>
      <c r="B62" s="36" t="s">
        <v>116</v>
      </c>
      <c r="C62" s="36">
        <v>70</v>
      </c>
      <c r="D62" s="36">
        <v>70</v>
      </c>
      <c r="E62" s="36">
        <v>70</v>
      </c>
      <c r="F62" s="36">
        <v>70</v>
      </c>
      <c r="G62" s="36">
        <v>70</v>
      </c>
      <c r="H62" s="36">
        <v>70</v>
      </c>
      <c r="I62" s="36">
        <v>70</v>
      </c>
      <c r="J62" s="36">
        <v>70</v>
      </c>
      <c r="K62" s="36">
        <v>70</v>
      </c>
      <c r="L62" s="36">
        <v>70</v>
      </c>
      <c r="M62" s="36">
        <v>70</v>
      </c>
      <c r="N62" s="36">
        <v>70</v>
      </c>
      <c r="O62" s="36">
        <v>840</v>
      </c>
      <c r="Z62" s="36">
        <v>840</v>
      </c>
    </row>
    <row r="63" spans="1:31" x14ac:dyDescent="0.3">
      <c r="C63" s="36">
        <v>0</v>
      </c>
      <c r="D63" s="36">
        <v>0</v>
      </c>
      <c r="E63" s="36">
        <v>0</v>
      </c>
      <c r="F63" s="36">
        <v>0</v>
      </c>
      <c r="G63" s="36">
        <v>0</v>
      </c>
      <c r="H63" s="36">
        <v>0</v>
      </c>
      <c r="I63" s="36">
        <v>0</v>
      </c>
      <c r="J63" s="36">
        <v>0</v>
      </c>
      <c r="K63" s="36">
        <v>0</v>
      </c>
      <c r="L63" s="36">
        <v>0</v>
      </c>
      <c r="M63" s="36">
        <v>0</v>
      </c>
      <c r="N63" s="36">
        <v>0</v>
      </c>
      <c r="O63" s="36">
        <v>0</v>
      </c>
    </row>
    <row r="64" spans="1:31" x14ac:dyDescent="0.3">
      <c r="O64" s="36">
        <v>0</v>
      </c>
    </row>
    <row r="65" spans="1:34" hidden="1" x14ac:dyDescent="0.3">
      <c r="B65" s="36" t="s">
        <v>117</v>
      </c>
      <c r="C65" s="36">
        <v>0</v>
      </c>
      <c r="D65" s="36">
        <v>0</v>
      </c>
      <c r="E65" s="36">
        <v>0</v>
      </c>
      <c r="F65" s="36">
        <v>0</v>
      </c>
      <c r="G65" s="36">
        <v>0</v>
      </c>
      <c r="H65" s="36">
        <v>0</v>
      </c>
      <c r="I65" s="36">
        <v>0</v>
      </c>
      <c r="J65" s="36">
        <v>0</v>
      </c>
      <c r="K65" s="36">
        <v>0</v>
      </c>
      <c r="L65" s="36">
        <v>0</v>
      </c>
      <c r="M65" s="36">
        <v>0</v>
      </c>
      <c r="N65" s="36">
        <v>0</v>
      </c>
      <c r="O65" s="36">
        <v>0</v>
      </c>
    </row>
    <row r="66" spans="1:34" hidden="1" x14ac:dyDescent="0.3">
      <c r="B66" s="36" t="s">
        <v>118</v>
      </c>
      <c r="C66" s="36">
        <v>0</v>
      </c>
      <c r="D66" s="36">
        <v>0</v>
      </c>
      <c r="E66" s="36">
        <v>0</v>
      </c>
      <c r="F66" s="36">
        <v>0</v>
      </c>
      <c r="G66" s="36">
        <v>0</v>
      </c>
      <c r="H66" s="36">
        <v>0</v>
      </c>
      <c r="I66" s="36">
        <v>0</v>
      </c>
      <c r="J66" s="36">
        <v>0</v>
      </c>
      <c r="K66" s="36">
        <v>0</v>
      </c>
      <c r="L66" s="36">
        <v>0</v>
      </c>
      <c r="M66" s="36">
        <v>0</v>
      </c>
      <c r="N66" s="36">
        <v>0</v>
      </c>
      <c r="O66" s="36">
        <v>0</v>
      </c>
    </row>
    <row r="67" spans="1:34" hidden="1" x14ac:dyDescent="0.3">
      <c r="B67" s="36" t="s">
        <v>119</v>
      </c>
      <c r="C67" s="36">
        <v>0</v>
      </c>
      <c r="D67" s="36">
        <v>0</v>
      </c>
      <c r="E67" s="36">
        <v>0</v>
      </c>
      <c r="F67" s="36">
        <v>0</v>
      </c>
      <c r="G67" s="36">
        <v>0</v>
      </c>
      <c r="H67" s="36">
        <v>0</v>
      </c>
      <c r="I67" s="36">
        <v>0</v>
      </c>
      <c r="J67" s="36">
        <v>0</v>
      </c>
      <c r="K67" s="36">
        <v>0</v>
      </c>
      <c r="L67" s="36">
        <v>0</v>
      </c>
      <c r="M67" s="36">
        <v>0</v>
      </c>
      <c r="N67" s="36">
        <v>0</v>
      </c>
      <c r="O67" s="36">
        <v>0</v>
      </c>
    </row>
    <row r="68" spans="1:34" hidden="1" x14ac:dyDescent="0.3">
      <c r="B68" s="36" t="s">
        <v>120</v>
      </c>
      <c r="C68" s="36">
        <v>0</v>
      </c>
      <c r="D68" s="36">
        <v>0</v>
      </c>
      <c r="E68" s="36">
        <v>0</v>
      </c>
      <c r="F68" s="36">
        <v>0</v>
      </c>
      <c r="G68" s="36">
        <v>0</v>
      </c>
      <c r="H68" s="36">
        <v>0</v>
      </c>
      <c r="I68" s="36">
        <v>0</v>
      </c>
      <c r="J68" s="36">
        <v>0</v>
      </c>
      <c r="K68" s="36">
        <v>0</v>
      </c>
      <c r="L68" s="36">
        <v>0</v>
      </c>
      <c r="M68" s="36">
        <v>0</v>
      </c>
      <c r="N68" s="36">
        <v>0</v>
      </c>
      <c r="O68" s="36">
        <v>0</v>
      </c>
    </row>
    <row r="69" spans="1:34" hidden="1" x14ac:dyDescent="0.3">
      <c r="B69" s="36" t="s">
        <v>121</v>
      </c>
      <c r="C69" s="36">
        <v>0</v>
      </c>
      <c r="D69" s="36">
        <v>0</v>
      </c>
      <c r="E69" s="36">
        <v>0</v>
      </c>
      <c r="F69" s="36">
        <v>0</v>
      </c>
      <c r="G69" s="36">
        <v>0</v>
      </c>
      <c r="H69" s="36">
        <v>0</v>
      </c>
      <c r="I69" s="36">
        <v>0</v>
      </c>
      <c r="J69" s="36">
        <v>0</v>
      </c>
      <c r="K69" s="36">
        <v>0</v>
      </c>
      <c r="L69" s="36">
        <v>0</v>
      </c>
      <c r="M69" s="36">
        <v>0</v>
      </c>
      <c r="N69" s="36">
        <v>0</v>
      </c>
      <c r="O69" s="36">
        <v>0</v>
      </c>
    </row>
    <row r="70" spans="1:34" hidden="1" x14ac:dyDescent="0.3">
      <c r="B70" s="36" t="s">
        <v>122</v>
      </c>
      <c r="C70" s="36">
        <v>0</v>
      </c>
      <c r="D70" s="36">
        <v>0</v>
      </c>
      <c r="E70" s="36">
        <v>0</v>
      </c>
      <c r="F70" s="36">
        <v>0</v>
      </c>
      <c r="G70" s="36">
        <v>0</v>
      </c>
      <c r="H70" s="36">
        <v>0</v>
      </c>
      <c r="I70" s="36">
        <v>0</v>
      </c>
      <c r="J70" s="36">
        <v>0</v>
      </c>
      <c r="K70" s="36">
        <v>0</v>
      </c>
      <c r="L70" s="36">
        <v>0</v>
      </c>
      <c r="M70" s="36">
        <v>0</v>
      </c>
      <c r="N70" s="36">
        <v>0</v>
      </c>
      <c r="O70" s="36">
        <v>0</v>
      </c>
    </row>
    <row r="71" spans="1:34" hidden="1" x14ac:dyDescent="0.3">
      <c r="B71" s="36" t="s">
        <v>123</v>
      </c>
      <c r="C71" s="36">
        <v>0</v>
      </c>
      <c r="D71" s="36">
        <v>0</v>
      </c>
      <c r="E71" s="36">
        <v>0</v>
      </c>
      <c r="F71" s="36">
        <v>0</v>
      </c>
      <c r="G71" s="36">
        <v>0</v>
      </c>
      <c r="H71" s="36">
        <v>0</v>
      </c>
      <c r="I71" s="36">
        <v>0</v>
      </c>
      <c r="J71" s="36">
        <v>0</v>
      </c>
      <c r="K71" s="36">
        <v>0</v>
      </c>
      <c r="L71" s="36">
        <v>0</v>
      </c>
      <c r="M71" s="36">
        <v>0</v>
      </c>
      <c r="N71" s="36">
        <v>0</v>
      </c>
      <c r="O71" s="36">
        <v>0</v>
      </c>
    </row>
    <row r="72" spans="1:34" x14ac:dyDescent="0.3">
      <c r="B72" s="36" t="s">
        <v>124</v>
      </c>
      <c r="O72" s="36">
        <v>25000</v>
      </c>
      <c r="Z72" s="36">
        <v>25000</v>
      </c>
    </row>
    <row r="73" spans="1:34" x14ac:dyDescent="0.3">
      <c r="A73" s="36">
        <f>SUM(O72:O73)</f>
        <v>35000</v>
      </c>
      <c r="B73" s="36" t="s">
        <v>125</v>
      </c>
      <c r="O73" s="36">
        <v>10000</v>
      </c>
      <c r="AF73" s="36">
        <v>10000</v>
      </c>
    </row>
    <row r="74" spans="1:34" x14ac:dyDescent="0.3">
      <c r="C74" s="36">
        <v>0</v>
      </c>
      <c r="D74" s="36">
        <v>0</v>
      </c>
      <c r="E74" s="36">
        <v>0</v>
      </c>
      <c r="F74" s="36">
        <v>0</v>
      </c>
      <c r="G74" s="36">
        <v>0</v>
      </c>
      <c r="H74" s="36">
        <v>0</v>
      </c>
      <c r="I74" s="36">
        <v>0</v>
      </c>
      <c r="J74" s="36">
        <v>0</v>
      </c>
      <c r="K74" s="36">
        <v>0</v>
      </c>
      <c r="L74" s="36">
        <v>0</v>
      </c>
      <c r="M74" s="36">
        <v>0</v>
      </c>
      <c r="N74" s="36">
        <v>0</v>
      </c>
      <c r="O74" s="36">
        <v>0</v>
      </c>
    </row>
    <row r="77" spans="1:34" x14ac:dyDescent="0.3">
      <c r="B77" s="36" t="s">
        <v>13</v>
      </c>
      <c r="C77" s="36">
        <v>239829</v>
      </c>
      <c r="D77" s="36">
        <v>437593</v>
      </c>
      <c r="E77" s="36">
        <v>387627</v>
      </c>
      <c r="F77" s="36">
        <v>362452</v>
      </c>
      <c r="G77" s="36">
        <v>271078</v>
      </c>
      <c r="H77" s="36">
        <v>510202</v>
      </c>
      <c r="I77" s="36">
        <v>246197</v>
      </c>
      <c r="J77" s="36">
        <v>232602</v>
      </c>
      <c r="K77" s="36">
        <v>225824</v>
      </c>
      <c r="L77" s="36">
        <v>524727</v>
      </c>
      <c r="M77" s="36">
        <v>224123</v>
      </c>
      <c r="N77" s="36">
        <v>861004</v>
      </c>
      <c r="O77" s="36">
        <v>4518253</v>
      </c>
      <c r="Y77" s="36">
        <v>3150</v>
      </c>
      <c r="Z77" s="36">
        <v>1446697</v>
      </c>
      <c r="AA77" s="36">
        <v>0</v>
      </c>
      <c r="AB77" s="36">
        <v>0</v>
      </c>
      <c r="AC77" s="36">
        <v>331696</v>
      </c>
      <c r="AD77" s="36">
        <v>0</v>
      </c>
      <c r="AE77" s="36">
        <v>1861710</v>
      </c>
      <c r="AF77" s="36">
        <v>875000</v>
      </c>
      <c r="AG77" s="36">
        <v>0</v>
      </c>
      <c r="AH77" s="36">
        <v>4518253</v>
      </c>
    </row>
    <row r="79" spans="1:34" x14ac:dyDescent="0.3">
      <c r="C79" s="36" t="s">
        <v>45</v>
      </c>
      <c r="D79" s="36" t="s">
        <v>46</v>
      </c>
      <c r="E79" s="36" t="s">
        <v>47</v>
      </c>
      <c r="F79" s="36" t="s">
        <v>48</v>
      </c>
      <c r="G79" s="36" t="s">
        <v>49</v>
      </c>
      <c r="H79" s="36" t="s">
        <v>50</v>
      </c>
      <c r="I79" s="36" t="s">
        <v>51</v>
      </c>
      <c r="J79" s="36" t="s">
        <v>52</v>
      </c>
      <c r="K79" s="36" t="s">
        <v>53</v>
      </c>
      <c r="L79" s="36" t="s">
        <v>54</v>
      </c>
      <c r="M79" s="36" t="s">
        <v>55</v>
      </c>
      <c r="N79" s="36" t="s">
        <v>56</v>
      </c>
    </row>
    <row r="81" spans="1:34" x14ac:dyDescent="0.3">
      <c r="B81" s="36" t="s">
        <v>57</v>
      </c>
      <c r="O81" s="36" t="s">
        <v>7</v>
      </c>
      <c r="P81" s="36" t="s">
        <v>58</v>
      </c>
      <c r="Q81" s="36" t="s">
        <v>59</v>
      </c>
      <c r="R81" s="36" t="s">
        <v>60</v>
      </c>
      <c r="S81" s="36" t="s">
        <v>61</v>
      </c>
      <c r="T81" s="36" t="s">
        <v>62</v>
      </c>
      <c r="U81" s="36" t="s">
        <v>63</v>
      </c>
      <c r="V81" s="36" t="s">
        <v>64</v>
      </c>
      <c r="W81" s="36" t="s">
        <v>65</v>
      </c>
      <c r="X81" s="36" t="s">
        <v>66</v>
      </c>
      <c r="Y81" s="36" t="s">
        <v>58</v>
      </c>
      <c r="Z81" s="36" t="s">
        <v>59</v>
      </c>
      <c r="AA81" s="36" t="s">
        <v>60</v>
      </c>
      <c r="AB81" s="36" t="s">
        <v>61</v>
      </c>
      <c r="AC81" s="36" t="s">
        <v>62</v>
      </c>
      <c r="AD81" s="36" t="s">
        <v>63</v>
      </c>
      <c r="AE81" s="36" t="s">
        <v>64</v>
      </c>
      <c r="AF81" s="36" t="s">
        <v>65</v>
      </c>
      <c r="AG81" s="36" t="s">
        <v>66</v>
      </c>
    </row>
    <row r="82" spans="1:34" s="76" customFormat="1" x14ac:dyDescent="0.3">
      <c r="A82" s="76">
        <v>1</v>
      </c>
      <c r="B82" s="45" t="s">
        <v>126</v>
      </c>
      <c r="C82" s="45">
        <v>0</v>
      </c>
      <c r="D82" s="45">
        <v>0</v>
      </c>
      <c r="E82" s="45">
        <v>0</v>
      </c>
      <c r="F82" s="45">
        <v>0</v>
      </c>
      <c r="G82" s="45">
        <v>0</v>
      </c>
      <c r="H82" s="45">
        <v>12000</v>
      </c>
      <c r="I82" s="45">
        <v>0</v>
      </c>
      <c r="J82" s="45">
        <v>0</v>
      </c>
      <c r="K82" s="45">
        <v>0</v>
      </c>
      <c r="L82" s="45">
        <v>0</v>
      </c>
      <c r="M82" s="45">
        <v>0</v>
      </c>
      <c r="N82" s="45">
        <v>0</v>
      </c>
      <c r="O82" s="45">
        <v>12000</v>
      </c>
      <c r="P82" s="45"/>
      <c r="Q82" s="45"/>
      <c r="R82" s="45"/>
      <c r="S82" s="45"/>
      <c r="T82" s="45"/>
      <c r="U82" s="45"/>
      <c r="V82" s="45"/>
      <c r="W82" s="45"/>
      <c r="X82" s="45" t="s">
        <v>127</v>
      </c>
      <c r="Y82" s="45"/>
      <c r="Z82" s="45"/>
      <c r="AA82" s="45"/>
      <c r="AB82" s="45"/>
      <c r="AC82" s="45"/>
      <c r="AD82" s="45"/>
      <c r="AE82" s="45"/>
      <c r="AF82" s="45"/>
      <c r="AG82" s="45">
        <v>12000</v>
      </c>
      <c r="AH82" s="76">
        <f t="shared" ref="AH82:AH113" si="0">SUM(Y82:AG82)</f>
        <v>12000</v>
      </c>
    </row>
    <row r="83" spans="1:34" s="53" customFormat="1" x14ac:dyDescent="0.3">
      <c r="B83" s="60" t="s">
        <v>128</v>
      </c>
      <c r="C83" s="60">
        <v>6500</v>
      </c>
      <c r="D83" s="60">
        <v>14000</v>
      </c>
      <c r="E83" s="60">
        <v>8375</v>
      </c>
      <c r="F83" s="60">
        <v>6500</v>
      </c>
      <c r="G83" s="60">
        <v>6500</v>
      </c>
      <c r="H83" s="60">
        <v>8375</v>
      </c>
      <c r="I83" s="60">
        <v>6500</v>
      </c>
      <c r="J83" s="60">
        <v>14000</v>
      </c>
      <c r="K83" s="60">
        <v>8375</v>
      </c>
      <c r="L83" s="60">
        <v>6500</v>
      </c>
      <c r="M83" s="60">
        <v>6500</v>
      </c>
      <c r="N83" s="60">
        <v>8375</v>
      </c>
      <c r="O83" s="60">
        <v>93000</v>
      </c>
      <c r="P83" s="60"/>
      <c r="Q83" s="60"/>
      <c r="R83" s="60"/>
      <c r="S83" s="60"/>
      <c r="T83" s="60"/>
      <c r="U83" s="60"/>
      <c r="V83" s="60" t="s">
        <v>127</v>
      </c>
      <c r="W83" s="60" t="s">
        <v>127</v>
      </c>
      <c r="X83" s="60"/>
      <c r="Y83" s="60"/>
      <c r="Z83" s="60"/>
      <c r="AA83" s="60"/>
      <c r="AB83" s="60"/>
      <c r="AC83" s="60"/>
      <c r="AD83" s="60"/>
      <c r="AE83" s="60">
        <v>78000</v>
      </c>
      <c r="AF83" s="60">
        <v>15000</v>
      </c>
      <c r="AG83" s="60"/>
      <c r="AH83" s="53">
        <f t="shared" si="0"/>
        <v>93000</v>
      </c>
    </row>
    <row r="84" spans="1:34" s="81" customFormat="1" x14ac:dyDescent="0.3">
      <c r="B84" s="50" t="s">
        <v>129</v>
      </c>
      <c r="C84" s="50">
        <v>240</v>
      </c>
      <c r="D84" s="50">
        <v>0</v>
      </c>
      <c r="E84" s="50">
        <v>0</v>
      </c>
      <c r="F84" s="50">
        <v>0</v>
      </c>
      <c r="G84" s="50">
        <v>90</v>
      </c>
      <c r="H84" s="50">
        <v>40</v>
      </c>
      <c r="I84" s="50">
        <v>0</v>
      </c>
      <c r="J84" s="50">
        <v>0</v>
      </c>
      <c r="K84" s="50">
        <v>90</v>
      </c>
      <c r="L84" s="50">
        <v>0</v>
      </c>
      <c r="M84" s="50">
        <v>0</v>
      </c>
      <c r="N84" s="50">
        <v>0</v>
      </c>
      <c r="O84" s="50">
        <v>460</v>
      </c>
      <c r="P84" s="50" t="s">
        <v>127</v>
      </c>
      <c r="Q84" s="50"/>
      <c r="R84" s="50"/>
      <c r="S84" s="50"/>
      <c r="T84" s="50"/>
      <c r="U84" s="50"/>
      <c r="V84" s="50" t="s">
        <v>127</v>
      </c>
      <c r="W84" s="50"/>
      <c r="X84" s="50" t="s">
        <v>127</v>
      </c>
      <c r="Y84" s="50">
        <v>270</v>
      </c>
      <c r="Z84" s="50"/>
      <c r="AA84" s="50"/>
      <c r="AB84" s="50"/>
      <c r="AC84" s="50"/>
      <c r="AD84" s="50"/>
      <c r="AE84" s="50">
        <v>150</v>
      </c>
      <c r="AF84" s="50"/>
      <c r="AG84" s="50">
        <v>40</v>
      </c>
      <c r="AH84" s="81">
        <f t="shared" si="0"/>
        <v>460</v>
      </c>
    </row>
    <row r="85" spans="1:34" s="1" customFormat="1" x14ac:dyDescent="0.3">
      <c r="B85" s="83" t="s">
        <v>130</v>
      </c>
      <c r="C85" s="83">
        <v>2860</v>
      </c>
      <c r="D85" s="83">
        <v>2893</v>
      </c>
      <c r="E85" s="83">
        <v>3110</v>
      </c>
      <c r="F85" s="83">
        <v>2893</v>
      </c>
      <c r="G85" s="83">
        <v>3360</v>
      </c>
      <c r="H85" s="83">
        <v>3693</v>
      </c>
      <c r="I85" s="83">
        <v>2893</v>
      </c>
      <c r="J85" s="83">
        <v>2860</v>
      </c>
      <c r="K85" s="83">
        <v>2860</v>
      </c>
      <c r="L85" s="83">
        <v>2860</v>
      </c>
      <c r="M85" s="83">
        <v>2860</v>
      </c>
      <c r="N85" s="83">
        <v>2893</v>
      </c>
      <c r="O85" s="83">
        <v>35000</v>
      </c>
      <c r="P85" s="83"/>
      <c r="Q85" s="83" t="s">
        <v>127</v>
      </c>
      <c r="R85" s="83"/>
      <c r="S85" s="83"/>
      <c r="T85" s="83"/>
      <c r="U85" s="83"/>
      <c r="V85" s="83" t="s">
        <v>127</v>
      </c>
      <c r="W85" s="83" t="s">
        <v>127</v>
      </c>
      <c r="X85" s="83" t="s">
        <v>127</v>
      </c>
      <c r="Y85" s="83"/>
      <c r="Z85" s="83">
        <v>1700</v>
      </c>
      <c r="AA85" s="83"/>
      <c r="AB85" s="83"/>
      <c r="AC85" s="83"/>
      <c r="AD85" s="83"/>
      <c r="AE85" s="83">
        <v>22600</v>
      </c>
      <c r="AF85" s="83">
        <v>9500</v>
      </c>
      <c r="AG85" s="83">
        <v>1200</v>
      </c>
      <c r="AH85" s="1">
        <f t="shared" si="0"/>
        <v>35000</v>
      </c>
    </row>
    <row r="86" spans="1:34" s="74" customFormat="1" x14ac:dyDescent="0.3">
      <c r="B86" s="49" t="s">
        <v>131</v>
      </c>
      <c r="C86" s="49">
        <v>29.62</v>
      </c>
      <c r="D86" s="49">
        <v>29.62</v>
      </c>
      <c r="E86" s="49">
        <v>29.62</v>
      </c>
      <c r="F86" s="49">
        <v>29.62</v>
      </c>
      <c r="G86" s="49">
        <v>29.62</v>
      </c>
      <c r="H86" s="49">
        <v>29.62</v>
      </c>
      <c r="I86" s="49">
        <v>29.62</v>
      </c>
      <c r="J86" s="49">
        <v>29.62</v>
      </c>
      <c r="K86" s="49">
        <v>29.62</v>
      </c>
      <c r="L86" s="49">
        <v>29.62</v>
      </c>
      <c r="M86" s="49">
        <v>29.62</v>
      </c>
      <c r="N86" s="49">
        <v>29.62</v>
      </c>
      <c r="O86" s="49">
        <v>356</v>
      </c>
      <c r="P86" s="49"/>
      <c r="Q86" s="49"/>
      <c r="R86" s="49"/>
      <c r="S86" s="49"/>
      <c r="T86" s="49"/>
      <c r="U86" s="49"/>
      <c r="V86" s="49" t="s">
        <v>127</v>
      </c>
      <c r="W86" s="49"/>
      <c r="X86" s="49"/>
      <c r="Y86" s="49"/>
      <c r="Z86" s="49"/>
      <c r="AA86" s="49"/>
      <c r="AB86" s="49"/>
      <c r="AC86" s="49"/>
      <c r="AD86" s="49"/>
      <c r="AE86" s="49">
        <v>356</v>
      </c>
      <c r="AF86" s="49"/>
      <c r="AG86" s="49"/>
      <c r="AH86" s="74">
        <f t="shared" si="0"/>
        <v>356</v>
      </c>
    </row>
    <row r="87" spans="1:34" s="1" customFormat="1" x14ac:dyDescent="0.3">
      <c r="B87" s="83" t="s">
        <v>132</v>
      </c>
      <c r="C87" s="83">
        <v>400</v>
      </c>
      <c r="D87" s="83">
        <v>40</v>
      </c>
      <c r="E87" s="83">
        <v>135</v>
      </c>
      <c r="F87" s="83">
        <v>0</v>
      </c>
      <c r="G87" s="83">
        <v>0</v>
      </c>
      <c r="H87" s="83">
        <v>535</v>
      </c>
      <c r="I87" s="83">
        <v>0</v>
      </c>
      <c r="J87" s="83">
        <v>40</v>
      </c>
      <c r="K87" s="83">
        <v>1500</v>
      </c>
      <c r="L87" s="83">
        <v>50</v>
      </c>
      <c r="M87" s="83">
        <v>0</v>
      </c>
      <c r="N87" s="83">
        <v>100</v>
      </c>
      <c r="O87" s="83">
        <v>2000</v>
      </c>
      <c r="P87" s="83"/>
      <c r="Q87" s="83"/>
      <c r="R87" s="83"/>
      <c r="S87" s="83"/>
      <c r="T87" s="83"/>
      <c r="U87" s="83"/>
      <c r="V87" s="83"/>
      <c r="W87" s="83"/>
      <c r="X87" s="83" t="s">
        <v>127</v>
      </c>
      <c r="Y87" s="83"/>
      <c r="Z87" s="83"/>
      <c r="AA87" s="83"/>
      <c r="AB87" s="83"/>
      <c r="AC87" s="83"/>
      <c r="AD87" s="83"/>
      <c r="AE87" s="83"/>
      <c r="AF87" s="83"/>
      <c r="AG87" s="83">
        <v>2000</v>
      </c>
      <c r="AH87" s="1">
        <f t="shared" si="0"/>
        <v>2000</v>
      </c>
    </row>
    <row r="88" spans="1:34" s="63" customFormat="1" x14ac:dyDescent="0.3">
      <c r="B88" s="40" t="s">
        <v>133</v>
      </c>
      <c r="C88" s="40">
        <v>1937.5</v>
      </c>
      <c r="D88" s="40">
        <v>1937.5</v>
      </c>
      <c r="E88" s="40">
        <v>1937.5</v>
      </c>
      <c r="F88" s="40">
        <v>1937.5</v>
      </c>
      <c r="G88" s="40">
        <v>1115.6875</v>
      </c>
      <c r="H88" s="40">
        <v>1115.6875</v>
      </c>
      <c r="I88" s="40">
        <v>1115.6875</v>
      </c>
      <c r="J88" s="40">
        <v>1115.6875</v>
      </c>
      <c r="K88" s="40">
        <v>1115.6875</v>
      </c>
      <c r="L88" s="40">
        <v>1115.6875</v>
      </c>
      <c r="M88" s="40">
        <v>1115.6875</v>
      </c>
      <c r="N88" s="40">
        <v>1615.6875</v>
      </c>
      <c r="O88" s="40">
        <v>17176</v>
      </c>
      <c r="P88" s="40"/>
      <c r="Q88" s="40"/>
      <c r="R88" s="40"/>
      <c r="S88" s="40"/>
      <c r="T88" s="40"/>
      <c r="U88" s="40"/>
      <c r="V88" s="40" t="s">
        <v>127</v>
      </c>
      <c r="W88" s="40"/>
      <c r="X88" s="40"/>
      <c r="Y88" s="40"/>
      <c r="Z88" s="40"/>
      <c r="AA88" s="40"/>
      <c r="AB88" s="40"/>
      <c r="AC88" s="40"/>
      <c r="AD88" s="40"/>
      <c r="AE88" s="40">
        <v>17176</v>
      </c>
      <c r="AF88" s="40"/>
      <c r="AG88" s="40"/>
      <c r="AH88" s="63">
        <f t="shared" si="0"/>
        <v>17176</v>
      </c>
    </row>
    <row r="89" spans="1:34" s="74" customFormat="1" x14ac:dyDescent="0.3">
      <c r="B89" s="49" t="s">
        <v>134</v>
      </c>
      <c r="C89" s="49">
        <v>4332.34</v>
      </c>
      <c r="D89" s="49">
        <v>4332.34</v>
      </c>
      <c r="E89" s="49">
        <v>4332.34</v>
      </c>
      <c r="F89" s="49">
        <v>4332.34</v>
      </c>
      <c r="G89" s="49">
        <v>4332.34</v>
      </c>
      <c r="H89" s="49">
        <v>4332.34</v>
      </c>
      <c r="I89" s="49">
        <v>4332.34</v>
      </c>
      <c r="J89" s="49">
        <v>4332.34</v>
      </c>
      <c r="K89" s="49">
        <v>4332.34</v>
      </c>
      <c r="L89" s="49">
        <v>4332.34</v>
      </c>
      <c r="M89" s="49">
        <v>4332.34</v>
      </c>
      <c r="N89" s="49">
        <v>4332.34</v>
      </c>
      <c r="O89" s="49">
        <v>51989</v>
      </c>
      <c r="P89" s="49"/>
      <c r="Q89" s="49"/>
      <c r="R89" s="49"/>
      <c r="S89" s="49"/>
      <c r="T89" s="49" t="s">
        <v>127</v>
      </c>
      <c r="U89" s="49"/>
      <c r="V89" s="49" t="s">
        <v>127</v>
      </c>
      <c r="W89" s="49"/>
      <c r="X89" s="49"/>
      <c r="Y89" s="49"/>
      <c r="Z89" s="49"/>
      <c r="AA89" s="49"/>
      <c r="AB89" s="49"/>
      <c r="AC89" s="49"/>
      <c r="AD89" s="49"/>
      <c r="AE89" s="49">
        <v>51789</v>
      </c>
      <c r="AF89" s="49"/>
      <c r="AG89" s="49"/>
      <c r="AH89" s="74">
        <f t="shared" si="0"/>
        <v>51789</v>
      </c>
    </row>
    <row r="90" spans="1:34" s="1" customFormat="1" x14ac:dyDescent="0.3">
      <c r="B90" s="83" t="s">
        <v>135</v>
      </c>
      <c r="C90" s="83">
        <v>750</v>
      </c>
      <c r="D90" s="83">
        <v>750</v>
      </c>
      <c r="E90" s="83">
        <v>750</v>
      </c>
      <c r="F90" s="83">
        <v>750</v>
      </c>
      <c r="G90" s="83">
        <v>750</v>
      </c>
      <c r="H90" s="83">
        <v>750</v>
      </c>
      <c r="I90" s="83">
        <v>750</v>
      </c>
      <c r="J90" s="83">
        <v>750</v>
      </c>
      <c r="K90" s="83">
        <v>750</v>
      </c>
      <c r="L90" s="83">
        <v>750</v>
      </c>
      <c r="M90" s="83">
        <v>750</v>
      </c>
      <c r="N90" s="83">
        <v>750</v>
      </c>
      <c r="O90" s="83">
        <v>8000</v>
      </c>
      <c r="P90" s="83"/>
      <c r="Q90" s="83"/>
      <c r="R90" s="83"/>
      <c r="S90" s="83"/>
      <c r="T90" s="83"/>
      <c r="U90" s="83"/>
      <c r="V90" s="83" t="s">
        <v>127</v>
      </c>
      <c r="W90" s="83"/>
      <c r="X90" s="83"/>
      <c r="Y90" s="83"/>
      <c r="Z90" s="83"/>
      <c r="AA90" s="83"/>
      <c r="AB90" s="83"/>
      <c r="AC90" s="83">
        <v>200.00000000000003</v>
      </c>
      <c r="AD90" s="83"/>
      <c r="AE90" s="83">
        <v>8000</v>
      </c>
      <c r="AF90" s="83"/>
      <c r="AG90" s="83"/>
      <c r="AH90" s="1">
        <f t="shared" si="0"/>
        <v>8200</v>
      </c>
    </row>
    <row r="91" spans="1:34" s="79" customFormat="1" x14ac:dyDescent="0.3">
      <c r="B91" s="42" t="s">
        <v>136</v>
      </c>
      <c r="C91" s="42">
        <v>30</v>
      </c>
      <c r="D91" s="42">
        <v>30</v>
      </c>
      <c r="E91" s="42">
        <v>30</v>
      </c>
      <c r="F91" s="42">
        <v>30</v>
      </c>
      <c r="G91" s="42">
        <v>30</v>
      </c>
      <c r="H91" s="42">
        <v>30</v>
      </c>
      <c r="I91" s="42">
        <v>30</v>
      </c>
      <c r="J91" s="42">
        <v>30</v>
      </c>
      <c r="K91" s="42">
        <v>30</v>
      </c>
      <c r="L91" s="42">
        <v>30</v>
      </c>
      <c r="M91" s="42">
        <v>30</v>
      </c>
      <c r="N91" s="42">
        <v>30</v>
      </c>
      <c r="O91" s="42">
        <v>360</v>
      </c>
      <c r="P91" s="42"/>
      <c r="Q91" s="42"/>
      <c r="R91" s="42"/>
      <c r="S91" s="42"/>
      <c r="T91" s="42"/>
      <c r="U91" s="42"/>
      <c r="V91" s="42" t="s">
        <v>127</v>
      </c>
      <c r="W91" s="42"/>
      <c r="X91" s="42"/>
      <c r="Y91" s="42"/>
      <c r="Z91" s="42"/>
      <c r="AA91" s="42"/>
      <c r="AB91" s="42"/>
      <c r="AC91" s="42"/>
      <c r="AD91" s="42"/>
      <c r="AE91" s="42">
        <v>360</v>
      </c>
      <c r="AF91" s="42"/>
      <c r="AG91" s="42"/>
      <c r="AH91" s="79">
        <f t="shared" si="0"/>
        <v>360</v>
      </c>
    </row>
    <row r="92" spans="1:34" s="81" customFormat="1" x14ac:dyDescent="0.3">
      <c r="B92" s="50" t="s">
        <v>137</v>
      </c>
      <c r="C92" s="50">
        <v>0</v>
      </c>
      <c r="D92" s="50">
        <v>1500</v>
      </c>
      <c r="E92" s="50">
        <v>1500</v>
      </c>
      <c r="F92" s="50">
        <v>1500</v>
      </c>
      <c r="G92" s="50">
        <v>0</v>
      </c>
      <c r="H92" s="50">
        <v>1500</v>
      </c>
      <c r="I92" s="50">
        <v>0</v>
      </c>
      <c r="J92" s="50">
        <v>0</v>
      </c>
      <c r="K92" s="50">
        <v>200</v>
      </c>
      <c r="L92" s="50">
        <v>3200</v>
      </c>
      <c r="M92" s="50">
        <v>3200</v>
      </c>
      <c r="N92" s="50">
        <v>1800</v>
      </c>
      <c r="O92" s="50">
        <v>14400</v>
      </c>
      <c r="P92" s="50" t="s">
        <v>127</v>
      </c>
      <c r="Q92" s="50"/>
      <c r="R92" s="50"/>
      <c r="S92" s="50"/>
      <c r="T92" s="50"/>
      <c r="U92" s="50"/>
      <c r="V92" s="50"/>
      <c r="W92" s="50"/>
      <c r="X92" s="50"/>
      <c r="Y92" s="50">
        <v>14400</v>
      </c>
      <c r="Z92" s="50"/>
      <c r="AA92" s="50"/>
      <c r="AB92" s="50"/>
      <c r="AC92" s="50"/>
      <c r="AD92" s="50"/>
      <c r="AE92" s="50"/>
      <c r="AF92" s="50"/>
      <c r="AG92" s="50"/>
      <c r="AH92" s="81">
        <f t="shared" si="0"/>
        <v>14400</v>
      </c>
    </row>
    <row r="93" spans="1:34" hidden="1" x14ac:dyDescent="0.3">
      <c r="B93" s="41" t="s">
        <v>138</v>
      </c>
      <c r="C93" s="41">
        <v>0</v>
      </c>
      <c r="D93" s="41">
        <v>0</v>
      </c>
      <c r="E93" s="41">
        <v>0</v>
      </c>
      <c r="F93" s="41">
        <v>0</v>
      </c>
      <c r="G93" s="41">
        <v>0</v>
      </c>
      <c r="H93" s="41">
        <v>0</v>
      </c>
      <c r="I93" s="41">
        <v>0</v>
      </c>
      <c r="J93" s="41">
        <v>0</v>
      </c>
      <c r="K93" s="41">
        <v>0</v>
      </c>
      <c r="L93" s="41">
        <v>0</v>
      </c>
      <c r="M93" s="41">
        <v>0</v>
      </c>
      <c r="N93" s="41">
        <v>0</v>
      </c>
      <c r="O93" s="41">
        <v>0</v>
      </c>
      <c r="P93" s="41"/>
      <c r="Q93" s="41"/>
      <c r="R93" s="41"/>
      <c r="S93" s="41"/>
      <c r="T93" s="41"/>
      <c r="U93" s="41"/>
      <c r="V93" s="41"/>
      <c r="W93" s="41"/>
      <c r="X93" s="41"/>
      <c r="Y93" s="41"/>
      <c r="Z93" s="41"/>
      <c r="AA93" s="41"/>
      <c r="AB93" s="41"/>
      <c r="AC93" s="41"/>
      <c r="AD93" s="41"/>
      <c r="AE93" s="41"/>
      <c r="AF93" s="41"/>
      <c r="AG93" s="41"/>
      <c r="AH93" s="36">
        <f t="shared" si="0"/>
        <v>0</v>
      </c>
    </row>
    <row r="94" spans="1:34" s="64" customFormat="1" x14ac:dyDescent="0.3">
      <c r="B94" s="43" t="s">
        <v>139</v>
      </c>
      <c r="C94" s="43">
        <v>2837.9000000000005</v>
      </c>
      <c r="D94" s="43">
        <v>1435.15</v>
      </c>
      <c r="E94" s="43">
        <v>3023.15</v>
      </c>
      <c r="F94" s="43">
        <v>3290.1500000000005</v>
      </c>
      <c r="G94" s="43">
        <v>4584.1500000000005</v>
      </c>
      <c r="H94" s="43">
        <v>4555.1499999999996</v>
      </c>
      <c r="I94" s="43">
        <v>2800.15</v>
      </c>
      <c r="J94" s="43">
        <v>1220.1500000000001</v>
      </c>
      <c r="K94" s="43">
        <v>23368.714</v>
      </c>
      <c r="L94" s="43">
        <v>2435.1500000000005</v>
      </c>
      <c r="M94" s="43">
        <v>1185.1500000000001</v>
      </c>
      <c r="N94" s="43">
        <v>4170.1499999999996</v>
      </c>
      <c r="O94" s="43">
        <v>29906</v>
      </c>
      <c r="P94" s="43"/>
      <c r="Q94" s="43"/>
      <c r="R94" s="43" t="s">
        <v>127</v>
      </c>
      <c r="S94" s="43"/>
      <c r="T94" s="43" t="s">
        <v>127</v>
      </c>
      <c r="U94" s="43" t="s">
        <v>127</v>
      </c>
      <c r="V94" s="43" t="s">
        <v>127</v>
      </c>
      <c r="W94" s="43" t="s">
        <v>127</v>
      </c>
      <c r="X94" s="43" t="s">
        <v>127</v>
      </c>
      <c r="Y94" s="43"/>
      <c r="Z94" s="43"/>
      <c r="AA94" s="43">
        <v>2093.42</v>
      </c>
      <c r="AB94" s="43"/>
      <c r="AC94" s="43">
        <v>2990.6000000000004</v>
      </c>
      <c r="AD94" s="43">
        <v>897.18</v>
      </c>
      <c r="AE94" s="43">
        <v>16448.300000000003</v>
      </c>
      <c r="AF94" s="43">
        <v>4186.84</v>
      </c>
      <c r="AG94" s="43">
        <v>3289.6600000000003</v>
      </c>
      <c r="AH94" s="64">
        <f t="shared" si="0"/>
        <v>29906.000000000004</v>
      </c>
    </row>
    <row r="95" spans="1:34" s="79" customFormat="1" x14ac:dyDescent="0.3">
      <c r="B95" s="42" t="s">
        <v>140</v>
      </c>
      <c r="C95" s="42">
        <v>3000</v>
      </c>
      <c r="D95" s="42">
        <v>3000</v>
      </c>
      <c r="E95" s="42">
        <v>3000</v>
      </c>
      <c r="F95" s="42">
        <v>2000</v>
      </c>
      <c r="G95" s="42">
        <v>2000</v>
      </c>
      <c r="H95" s="42">
        <v>2000</v>
      </c>
      <c r="I95" s="42">
        <v>2000</v>
      </c>
      <c r="J95" s="42">
        <v>2000</v>
      </c>
      <c r="K95" s="42">
        <v>2000</v>
      </c>
      <c r="L95" s="42">
        <v>3000</v>
      </c>
      <c r="M95" s="42">
        <v>3000</v>
      </c>
      <c r="N95" s="42">
        <v>3000</v>
      </c>
      <c r="O95" s="42">
        <v>30000</v>
      </c>
      <c r="P95" s="42"/>
      <c r="Q95" s="42"/>
      <c r="R95" s="42"/>
      <c r="S95" s="42"/>
      <c r="T95" s="42"/>
      <c r="U95" s="42"/>
      <c r="V95" s="42" t="s">
        <v>127</v>
      </c>
      <c r="W95" s="42"/>
      <c r="X95" s="42"/>
      <c r="Y95" s="42"/>
      <c r="Z95" s="42"/>
      <c r="AA95" s="42"/>
      <c r="AB95" s="42"/>
      <c r="AC95" s="42"/>
      <c r="AD95" s="42"/>
      <c r="AE95" s="42">
        <v>30000</v>
      </c>
      <c r="AF95" s="42"/>
      <c r="AG95" s="42"/>
      <c r="AH95" s="79">
        <f t="shared" si="0"/>
        <v>30000</v>
      </c>
    </row>
    <row r="96" spans="1:34" s="81" customFormat="1" x14ac:dyDescent="0.3">
      <c r="B96" s="50" t="s">
        <v>141</v>
      </c>
      <c r="C96" s="50">
        <v>240</v>
      </c>
      <c r="D96" s="50">
        <v>240</v>
      </c>
      <c r="E96" s="50">
        <v>240</v>
      </c>
      <c r="F96" s="50">
        <v>240</v>
      </c>
      <c r="G96" s="50">
        <v>240</v>
      </c>
      <c r="H96" s="50">
        <v>965</v>
      </c>
      <c r="I96" s="50">
        <v>240</v>
      </c>
      <c r="J96" s="50">
        <v>240</v>
      </c>
      <c r="K96" s="50">
        <v>240</v>
      </c>
      <c r="L96" s="50">
        <v>240</v>
      </c>
      <c r="M96" s="50">
        <v>240</v>
      </c>
      <c r="N96" s="50">
        <v>240</v>
      </c>
      <c r="O96" s="50">
        <v>3000</v>
      </c>
      <c r="P96" s="50"/>
      <c r="Q96" s="50"/>
      <c r="R96" s="50"/>
      <c r="S96" s="50"/>
      <c r="T96" s="50" t="s">
        <v>127</v>
      </c>
      <c r="U96" s="50"/>
      <c r="V96" s="50"/>
      <c r="W96" s="50"/>
      <c r="X96" s="50"/>
      <c r="Y96" s="50"/>
      <c r="Z96" s="50"/>
      <c r="AA96" s="50"/>
      <c r="AB96" s="50"/>
      <c r="AC96" s="50">
        <v>3000</v>
      </c>
      <c r="AD96" s="50"/>
      <c r="AE96" s="50"/>
      <c r="AF96" s="50"/>
      <c r="AG96" s="50"/>
      <c r="AH96" s="81">
        <f t="shared" si="0"/>
        <v>3000</v>
      </c>
    </row>
    <row r="97" spans="2:34" hidden="1" x14ac:dyDescent="0.3">
      <c r="B97" s="41" t="s">
        <v>142</v>
      </c>
      <c r="C97" s="41">
        <v>0</v>
      </c>
      <c r="D97" s="41">
        <v>0</v>
      </c>
      <c r="E97" s="41">
        <v>0</v>
      </c>
      <c r="F97" s="41">
        <v>0</v>
      </c>
      <c r="G97" s="41">
        <v>0</v>
      </c>
      <c r="H97" s="41">
        <v>0</v>
      </c>
      <c r="I97" s="41">
        <v>0</v>
      </c>
      <c r="J97" s="41">
        <v>0</v>
      </c>
      <c r="K97" s="41">
        <v>0</v>
      </c>
      <c r="L97" s="41">
        <v>0</v>
      </c>
      <c r="M97" s="41">
        <v>0</v>
      </c>
      <c r="N97" s="41">
        <v>0</v>
      </c>
      <c r="O97" s="41">
        <v>0</v>
      </c>
      <c r="P97" s="41"/>
      <c r="Q97" s="41"/>
      <c r="R97" s="41"/>
      <c r="S97" s="41"/>
      <c r="T97" s="41"/>
      <c r="U97" s="41"/>
      <c r="V97" s="41"/>
      <c r="W97" s="41"/>
      <c r="X97" s="41"/>
      <c r="Y97" s="41"/>
      <c r="Z97" s="41"/>
      <c r="AA97" s="41"/>
      <c r="AB97" s="41"/>
      <c r="AC97" s="41"/>
      <c r="AD97" s="41"/>
      <c r="AE97" s="41"/>
      <c r="AF97" s="41"/>
      <c r="AG97" s="41"/>
      <c r="AH97" s="36">
        <f t="shared" si="0"/>
        <v>0</v>
      </c>
    </row>
    <row r="98" spans="2:34" s="74" customFormat="1" x14ac:dyDescent="0.3">
      <c r="B98" s="49" t="s">
        <v>143</v>
      </c>
      <c r="C98" s="49">
        <v>699.97</v>
      </c>
      <c r="D98" s="49">
        <v>699.97</v>
      </c>
      <c r="E98" s="49">
        <v>699.97</v>
      </c>
      <c r="F98" s="49">
        <v>699.97</v>
      </c>
      <c r="G98" s="49">
        <v>699.97</v>
      </c>
      <c r="H98" s="49">
        <v>699.97</v>
      </c>
      <c r="I98" s="49">
        <v>699.97</v>
      </c>
      <c r="J98" s="49">
        <v>699.97</v>
      </c>
      <c r="K98" s="49">
        <v>699.97</v>
      </c>
      <c r="L98" s="49">
        <v>699.97</v>
      </c>
      <c r="M98" s="49">
        <v>699.97</v>
      </c>
      <c r="N98" s="49">
        <v>699.97</v>
      </c>
      <c r="O98" s="49">
        <v>8400</v>
      </c>
      <c r="P98" s="49"/>
      <c r="Q98" s="49"/>
      <c r="R98" s="49"/>
      <c r="S98" s="49"/>
      <c r="T98" s="49" t="s">
        <v>127</v>
      </c>
      <c r="U98" s="49"/>
      <c r="V98" s="49"/>
      <c r="W98" s="49"/>
      <c r="X98" s="49"/>
      <c r="Y98" s="49"/>
      <c r="Z98" s="49"/>
      <c r="AA98" s="49"/>
      <c r="AB98" s="49"/>
      <c r="AC98" s="49">
        <v>8400</v>
      </c>
      <c r="AD98" s="49"/>
      <c r="AE98" s="49"/>
      <c r="AF98" s="49"/>
      <c r="AG98" s="49"/>
      <c r="AH98" s="74">
        <f t="shared" si="0"/>
        <v>8400</v>
      </c>
    </row>
    <row r="99" spans="2:34" s="52" customFormat="1" x14ac:dyDescent="0.3">
      <c r="B99" s="48" t="s">
        <v>144</v>
      </c>
      <c r="C99" s="48">
        <v>0</v>
      </c>
      <c r="D99" s="48">
        <v>125000</v>
      </c>
      <c r="E99" s="48">
        <v>125000</v>
      </c>
      <c r="F99" s="48">
        <v>125000</v>
      </c>
      <c r="G99" s="48">
        <v>0</v>
      </c>
      <c r="H99" s="48">
        <v>125000</v>
      </c>
      <c r="I99" s="48">
        <v>0</v>
      </c>
      <c r="J99" s="48">
        <v>0</v>
      </c>
      <c r="K99" s="48">
        <v>0</v>
      </c>
      <c r="L99" s="48">
        <v>250000</v>
      </c>
      <c r="M99" s="48">
        <v>0</v>
      </c>
      <c r="N99" s="48">
        <v>250000</v>
      </c>
      <c r="O99" s="48">
        <v>1000000</v>
      </c>
      <c r="P99" s="48"/>
      <c r="Q99" s="48"/>
      <c r="R99" s="48"/>
      <c r="S99" s="48"/>
      <c r="T99" s="48" t="s">
        <v>127</v>
      </c>
      <c r="U99" s="48"/>
      <c r="V99" s="48"/>
      <c r="W99" s="48"/>
      <c r="X99" s="48"/>
      <c r="Y99" s="48"/>
      <c r="Z99" s="48"/>
      <c r="AA99" s="48"/>
      <c r="AB99" s="48"/>
      <c r="AC99" s="48">
        <v>1000000</v>
      </c>
      <c r="AD99" s="48"/>
      <c r="AE99" s="48"/>
      <c r="AF99" s="48"/>
      <c r="AG99" s="48"/>
      <c r="AH99" s="52">
        <f t="shared" si="0"/>
        <v>1000000</v>
      </c>
    </row>
    <row r="100" spans="2:34" s="79" customFormat="1" x14ac:dyDescent="0.3">
      <c r="B100" s="42" t="s">
        <v>145</v>
      </c>
      <c r="C100" s="42">
        <v>7700</v>
      </c>
      <c r="D100" s="42">
        <v>7700</v>
      </c>
      <c r="E100" s="42">
        <v>7700</v>
      </c>
      <c r="F100" s="42">
        <v>7700</v>
      </c>
      <c r="G100" s="42">
        <v>7700</v>
      </c>
      <c r="H100" s="42">
        <v>7700</v>
      </c>
      <c r="I100" s="42">
        <v>7700</v>
      </c>
      <c r="J100" s="42">
        <v>7700</v>
      </c>
      <c r="K100" s="42">
        <v>7700</v>
      </c>
      <c r="L100" s="42">
        <v>7700</v>
      </c>
      <c r="M100" s="42">
        <v>7700</v>
      </c>
      <c r="N100" s="42">
        <v>7700</v>
      </c>
      <c r="O100" s="42">
        <v>92400</v>
      </c>
      <c r="P100" s="42"/>
      <c r="Q100" s="42"/>
      <c r="R100" s="42"/>
      <c r="S100" s="42"/>
      <c r="T100" s="42"/>
      <c r="U100" s="42"/>
      <c r="V100" s="42" t="s">
        <v>127</v>
      </c>
      <c r="W100" s="42"/>
      <c r="X100" s="42"/>
      <c r="Y100" s="42"/>
      <c r="Z100" s="42"/>
      <c r="AA100" s="42"/>
      <c r="AB100" s="42"/>
      <c r="AC100" s="42"/>
      <c r="AD100" s="42"/>
      <c r="AE100" s="42">
        <v>92400</v>
      </c>
      <c r="AF100" s="42"/>
      <c r="AG100" s="42"/>
      <c r="AH100" s="79">
        <f t="shared" si="0"/>
        <v>92400</v>
      </c>
    </row>
    <row r="101" spans="2:34" s="81" customFormat="1" x14ac:dyDescent="0.3">
      <c r="B101" s="50" t="s">
        <v>146</v>
      </c>
      <c r="C101" s="50">
        <v>0</v>
      </c>
      <c r="D101" s="50">
        <v>0</v>
      </c>
      <c r="E101" s="50">
        <v>3750</v>
      </c>
      <c r="F101" s="50">
        <v>0</v>
      </c>
      <c r="G101" s="50">
        <v>0</v>
      </c>
      <c r="H101" s="50">
        <v>3750</v>
      </c>
      <c r="I101" s="50">
        <v>0</v>
      </c>
      <c r="J101" s="50">
        <v>0</v>
      </c>
      <c r="K101" s="50">
        <v>3750</v>
      </c>
      <c r="L101" s="50">
        <v>0</v>
      </c>
      <c r="M101" s="50">
        <v>0</v>
      </c>
      <c r="N101" s="50">
        <v>3750</v>
      </c>
      <c r="O101" s="50">
        <v>15000</v>
      </c>
      <c r="P101" s="50"/>
      <c r="Q101" s="50"/>
      <c r="R101" s="50"/>
      <c r="S101" s="50" t="s">
        <v>127</v>
      </c>
      <c r="T101" s="50"/>
      <c r="U101" s="50"/>
      <c r="V101" s="50"/>
      <c r="W101" s="50"/>
      <c r="X101" s="50"/>
      <c r="Y101" s="50"/>
      <c r="Z101" s="50"/>
      <c r="AA101" s="50"/>
      <c r="AB101" s="50">
        <v>15000</v>
      </c>
      <c r="AC101" s="50"/>
      <c r="AD101" s="50"/>
      <c r="AE101" s="50"/>
      <c r="AF101" s="50"/>
      <c r="AG101" s="50"/>
      <c r="AH101" s="81">
        <f t="shared" si="0"/>
        <v>15000</v>
      </c>
    </row>
    <row r="102" spans="2:34" s="81" customFormat="1" x14ac:dyDescent="0.3">
      <c r="B102" s="50" t="s">
        <v>147</v>
      </c>
      <c r="C102" s="50">
        <v>35</v>
      </c>
      <c r="D102" s="50">
        <v>35</v>
      </c>
      <c r="E102" s="50">
        <v>1085</v>
      </c>
      <c r="F102" s="50">
        <v>0</v>
      </c>
      <c r="G102" s="50">
        <v>35</v>
      </c>
      <c r="H102" s="50">
        <v>0</v>
      </c>
      <c r="I102" s="50">
        <v>1050</v>
      </c>
      <c r="J102" s="50">
        <v>0</v>
      </c>
      <c r="K102" s="50">
        <v>0</v>
      </c>
      <c r="L102" s="50">
        <v>105</v>
      </c>
      <c r="M102" s="50">
        <v>1120</v>
      </c>
      <c r="N102" s="50">
        <v>70</v>
      </c>
      <c r="O102" s="50">
        <v>3535</v>
      </c>
      <c r="P102" s="50" t="s">
        <v>127</v>
      </c>
      <c r="Q102" s="50"/>
      <c r="R102" s="50"/>
      <c r="S102" s="50"/>
      <c r="T102" s="50"/>
      <c r="U102" s="50"/>
      <c r="V102" s="50"/>
      <c r="W102" s="50"/>
      <c r="X102" s="50"/>
      <c r="Y102" s="50">
        <v>3535</v>
      </c>
      <c r="Z102" s="50"/>
      <c r="AA102" s="50"/>
      <c r="AB102" s="50"/>
      <c r="AC102" s="50"/>
      <c r="AD102" s="50"/>
      <c r="AE102" s="50"/>
      <c r="AF102" s="50"/>
      <c r="AG102" s="50"/>
      <c r="AH102" s="81">
        <f t="shared" si="0"/>
        <v>3535</v>
      </c>
    </row>
    <row r="103" spans="2:34" s="81" customFormat="1" x14ac:dyDescent="0.3">
      <c r="B103" s="50" t="s">
        <v>148</v>
      </c>
      <c r="C103" s="50">
        <v>0</v>
      </c>
      <c r="D103" s="50">
        <v>50</v>
      </c>
      <c r="E103" s="50">
        <v>140</v>
      </c>
      <c r="F103" s="50">
        <v>0</v>
      </c>
      <c r="G103" s="50">
        <v>0</v>
      </c>
      <c r="H103" s="50">
        <v>25</v>
      </c>
      <c r="I103" s="50">
        <v>40</v>
      </c>
      <c r="J103" s="50">
        <v>0</v>
      </c>
      <c r="K103" s="50">
        <v>25</v>
      </c>
      <c r="L103" s="50">
        <v>25</v>
      </c>
      <c r="M103" s="50">
        <v>90</v>
      </c>
      <c r="N103" s="50">
        <v>50</v>
      </c>
      <c r="O103" s="50">
        <v>445</v>
      </c>
      <c r="P103" s="50" t="s">
        <v>127</v>
      </c>
      <c r="Q103" s="50"/>
      <c r="R103" s="50"/>
      <c r="S103" s="50"/>
      <c r="T103" s="50"/>
      <c r="U103" s="50"/>
      <c r="V103" s="50"/>
      <c r="W103" s="50"/>
      <c r="X103" s="50"/>
      <c r="Y103" s="50">
        <v>445</v>
      </c>
      <c r="Z103" s="50"/>
      <c r="AA103" s="50"/>
      <c r="AB103" s="50"/>
      <c r="AC103" s="50"/>
      <c r="AD103" s="50"/>
      <c r="AE103" s="50"/>
      <c r="AF103" s="50"/>
      <c r="AG103" s="50"/>
      <c r="AH103" s="81">
        <f t="shared" si="0"/>
        <v>445</v>
      </c>
    </row>
    <row r="104" spans="2:34" s="85" customFormat="1" x14ac:dyDescent="0.3">
      <c r="B104" s="84" t="s">
        <v>149</v>
      </c>
      <c r="C104" s="84">
        <v>19794.650000000001</v>
      </c>
      <c r="D104" s="84">
        <v>1043.75</v>
      </c>
      <c r="E104" s="84">
        <v>855</v>
      </c>
      <c r="F104" s="84">
        <v>237.5</v>
      </c>
      <c r="G104" s="84">
        <v>559.26</v>
      </c>
      <c r="H104" s="84">
        <v>872.99</v>
      </c>
      <c r="I104" s="84">
        <v>739.25</v>
      </c>
      <c r="J104" s="84">
        <v>20</v>
      </c>
      <c r="K104" s="84">
        <v>365</v>
      </c>
      <c r="L104" s="84">
        <v>272.5</v>
      </c>
      <c r="M104" s="84">
        <v>1120</v>
      </c>
      <c r="N104" s="84">
        <v>365</v>
      </c>
      <c r="O104" s="84">
        <v>26245</v>
      </c>
      <c r="P104" s="84"/>
      <c r="Q104" s="84"/>
      <c r="R104" s="84" t="s">
        <v>127</v>
      </c>
      <c r="S104" s="84"/>
      <c r="T104" s="84" t="s">
        <v>127</v>
      </c>
      <c r="U104" s="84"/>
      <c r="V104" s="84" t="s">
        <v>127</v>
      </c>
      <c r="W104" s="84" t="s">
        <v>127</v>
      </c>
      <c r="X104" s="84" t="s">
        <v>127</v>
      </c>
      <c r="Y104" s="84"/>
      <c r="Z104" s="84"/>
      <c r="AA104" s="84">
        <v>1837.15</v>
      </c>
      <c r="AB104" s="84"/>
      <c r="AC104" s="84">
        <v>2886.95</v>
      </c>
      <c r="AD104" s="84"/>
      <c r="AE104" s="84">
        <v>14959.649999999998</v>
      </c>
      <c r="AF104" s="84">
        <v>3674.3</v>
      </c>
      <c r="AG104" s="84">
        <v>2886.95</v>
      </c>
      <c r="AH104" s="85">
        <f t="shared" si="0"/>
        <v>26245</v>
      </c>
    </row>
    <row r="105" spans="2:34" s="55" customFormat="1" x14ac:dyDescent="0.3">
      <c r="B105" s="54" t="s">
        <v>150</v>
      </c>
      <c r="C105" s="54">
        <v>9672.9033333333336</v>
      </c>
      <c r="D105" s="54">
        <v>9672.9033333333336</v>
      </c>
      <c r="E105" s="54">
        <v>9672.9033333333336</v>
      </c>
      <c r="F105" s="54">
        <v>9672.9033333333336</v>
      </c>
      <c r="G105" s="54">
        <v>9672.9033333333336</v>
      </c>
      <c r="H105" s="54">
        <v>9672.9033333333336</v>
      </c>
      <c r="I105" s="54">
        <v>9672.9033333333336</v>
      </c>
      <c r="J105" s="54">
        <v>9672.9033333333336</v>
      </c>
      <c r="K105" s="54">
        <v>9672.9033333333336</v>
      </c>
      <c r="L105" s="54">
        <v>9672.9033333333336</v>
      </c>
      <c r="M105" s="54">
        <v>9672.9033333333336</v>
      </c>
      <c r="N105" s="54">
        <v>9672.9033333333336</v>
      </c>
      <c r="O105" s="54">
        <v>112637</v>
      </c>
      <c r="P105" s="54"/>
      <c r="Q105" s="54"/>
      <c r="R105" s="54"/>
      <c r="S105" s="54"/>
      <c r="T105" s="54"/>
      <c r="U105" s="54"/>
      <c r="V105" s="54"/>
      <c r="W105" s="54"/>
      <c r="X105" s="54"/>
      <c r="Y105" s="54"/>
      <c r="Z105" s="54"/>
      <c r="AA105" s="54">
        <v>7998</v>
      </c>
      <c r="AB105" s="54"/>
      <c r="AC105" s="54">
        <v>18573</v>
      </c>
      <c r="AD105" s="54"/>
      <c r="AE105" s="54">
        <v>49849.77</v>
      </c>
      <c r="AF105" s="54">
        <v>17063</v>
      </c>
      <c r="AG105" s="54">
        <v>19153.23</v>
      </c>
      <c r="AH105" s="55">
        <f t="shared" si="0"/>
        <v>112636.99999999999</v>
      </c>
    </row>
    <row r="106" spans="2:34" s="55" customFormat="1" x14ac:dyDescent="0.3">
      <c r="B106" s="54" t="s">
        <v>151</v>
      </c>
      <c r="C106" s="54">
        <v>2431.0633333333335</v>
      </c>
      <c r="D106" s="54">
        <v>2431.0633333333335</v>
      </c>
      <c r="E106" s="54">
        <v>2431.0633333333335</v>
      </c>
      <c r="F106" s="54">
        <v>2431.0633333333335</v>
      </c>
      <c r="G106" s="54">
        <v>2431.0633333333335</v>
      </c>
      <c r="H106" s="54">
        <v>2431.0633333333335</v>
      </c>
      <c r="I106" s="54">
        <v>2431.0633333333335</v>
      </c>
      <c r="J106" s="54">
        <v>2431.0633333333335</v>
      </c>
      <c r="K106" s="54">
        <v>2431.0633333333335</v>
      </c>
      <c r="L106" s="54">
        <v>2431.0633333333335</v>
      </c>
      <c r="M106" s="54">
        <v>2431.0633333333335</v>
      </c>
      <c r="N106" s="54">
        <v>2431.0633333333335</v>
      </c>
      <c r="O106" s="54">
        <v>30593</v>
      </c>
      <c r="P106" s="54"/>
      <c r="Q106" s="54"/>
      <c r="R106" s="54"/>
      <c r="S106" s="54"/>
      <c r="T106" s="54"/>
      <c r="U106" s="54"/>
      <c r="V106" s="54"/>
      <c r="W106" s="54"/>
      <c r="X106" s="54"/>
      <c r="Y106" s="54"/>
      <c r="Z106" s="54"/>
      <c r="AA106" s="54">
        <v>2914</v>
      </c>
      <c r="AB106" s="54"/>
      <c r="AC106" s="54">
        <v>4401.76</v>
      </c>
      <c r="AD106" s="54"/>
      <c r="AE106" s="54">
        <v>9964.24</v>
      </c>
      <c r="AF106" s="54">
        <v>6247</v>
      </c>
      <c r="AG106" s="54">
        <v>7066</v>
      </c>
      <c r="AH106" s="55">
        <f t="shared" si="0"/>
        <v>30593</v>
      </c>
    </row>
    <row r="107" spans="2:34" s="81" customFormat="1" x14ac:dyDescent="0.3">
      <c r="B107" s="50" t="s">
        <v>152</v>
      </c>
      <c r="C107" s="50">
        <v>666.66666666666663</v>
      </c>
      <c r="D107" s="50">
        <v>666.66666666666663</v>
      </c>
      <c r="E107" s="50">
        <v>666.66666666666663</v>
      </c>
      <c r="F107" s="50">
        <v>666.66666666666663</v>
      </c>
      <c r="G107" s="50">
        <v>666.66666666666663</v>
      </c>
      <c r="H107" s="50">
        <v>666.66666666666663</v>
      </c>
      <c r="I107" s="50">
        <v>666.66666666666663</v>
      </c>
      <c r="J107" s="50">
        <v>666.66666666666663</v>
      </c>
      <c r="K107" s="50">
        <v>666.66666666666663</v>
      </c>
      <c r="L107" s="50">
        <v>666.66666666666663</v>
      </c>
      <c r="M107" s="50">
        <v>666.66666666666663</v>
      </c>
      <c r="N107" s="50">
        <v>666.66666666666663</v>
      </c>
      <c r="O107" s="50">
        <v>8000</v>
      </c>
      <c r="P107" s="50"/>
      <c r="Q107" s="50"/>
      <c r="R107" s="50"/>
      <c r="S107" s="50"/>
      <c r="T107" s="50"/>
      <c r="U107" s="50"/>
      <c r="V107" s="50" t="s">
        <v>127</v>
      </c>
      <c r="W107" s="50"/>
      <c r="X107" s="50"/>
      <c r="Y107" s="50"/>
      <c r="Z107" s="50"/>
      <c r="AA107" s="50"/>
      <c r="AB107" s="50"/>
      <c r="AC107" s="50"/>
      <c r="AD107" s="50"/>
      <c r="AE107" s="50">
        <v>8000</v>
      </c>
      <c r="AF107" s="50"/>
      <c r="AG107" s="50"/>
      <c r="AH107" s="81">
        <f t="shared" si="0"/>
        <v>8000</v>
      </c>
    </row>
    <row r="108" spans="2:34" s="81" customFormat="1" hidden="1" x14ac:dyDescent="0.3">
      <c r="B108" s="50" t="s">
        <v>153</v>
      </c>
      <c r="C108" s="50">
        <v>0</v>
      </c>
      <c r="D108" s="50">
        <v>0</v>
      </c>
      <c r="E108" s="50">
        <v>0</v>
      </c>
      <c r="F108" s="50">
        <v>0</v>
      </c>
      <c r="G108" s="50">
        <v>0</v>
      </c>
      <c r="H108" s="50">
        <v>0</v>
      </c>
      <c r="I108" s="50">
        <v>0</v>
      </c>
      <c r="J108" s="50">
        <v>0</v>
      </c>
      <c r="K108" s="50">
        <v>0</v>
      </c>
      <c r="L108" s="50">
        <v>0</v>
      </c>
      <c r="M108" s="50">
        <v>0</v>
      </c>
      <c r="N108" s="50">
        <v>0</v>
      </c>
      <c r="O108" s="50">
        <v>0</v>
      </c>
      <c r="P108" s="50"/>
      <c r="Q108" s="50"/>
      <c r="R108" s="50"/>
      <c r="S108" s="50"/>
      <c r="T108" s="50"/>
      <c r="U108" s="50"/>
      <c r="V108" s="50"/>
      <c r="W108" s="50"/>
      <c r="X108" s="50"/>
      <c r="Y108" s="50"/>
      <c r="Z108" s="50"/>
      <c r="AA108" s="50"/>
      <c r="AB108" s="50"/>
      <c r="AC108" s="50"/>
      <c r="AD108" s="50"/>
      <c r="AE108" s="50"/>
      <c r="AF108" s="50"/>
      <c r="AG108" s="50"/>
      <c r="AH108" s="81">
        <f t="shared" si="0"/>
        <v>0</v>
      </c>
    </row>
    <row r="109" spans="2:34" s="81" customFormat="1" x14ac:dyDescent="0.3">
      <c r="B109" s="50" t="s">
        <v>154</v>
      </c>
      <c r="C109" s="50">
        <v>1197</v>
      </c>
      <c r="D109" s="50">
        <v>1197</v>
      </c>
      <c r="E109" s="50">
        <v>1197</v>
      </c>
      <c r="F109" s="50">
        <v>1197</v>
      </c>
      <c r="G109" s="50">
        <v>1197</v>
      </c>
      <c r="H109" s="50">
        <v>1197</v>
      </c>
      <c r="I109" s="50">
        <v>1197</v>
      </c>
      <c r="J109" s="50">
        <v>1197</v>
      </c>
      <c r="K109" s="50">
        <v>1197</v>
      </c>
      <c r="L109" s="50">
        <v>1197</v>
      </c>
      <c r="M109" s="50">
        <v>1197</v>
      </c>
      <c r="N109" s="50">
        <v>1197</v>
      </c>
      <c r="O109" s="50">
        <v>14364</v>
      </c>
      <c r="P109" s="50"/>
      <c r="Q109" s="50"/>
      <c r="R109" s="50"/>
      <c r="S109" s="50"/>
      <c r="T109" s="50" t="s">
        <v>127</v>
      </c>
      <c r="U109" s="50"/>
      <c r="V109" s="50" t="s">
        <v>127</v>
      </c>
      <c r="W109" s="50"/>
      <c r="X109" s="50"/>
      <c r="Y109" s="50"/>
      <c r="Z109" s="50"/>
      <c r="AA109" s="50"/>
      <c r="AB109" s="50"/>
      <c r="AC109" s="50">
        <v>2500</v>
      </c>
      <c r="AD109" s="50"/>
      <c r="AE109" s="50">
        <v>11864</v>
      </c>
      <c r="AF109" s="50"/>
      <c r="AG109" s="50"/>
      <c r="AH109" s="81">
        <f t="shared" si="0"/>
        <v>14364</v>
      </c>
    </row>
    <row r="110" spans="2:34" s="53" customFormat="1" x14ac:dyDescent="0.3">
      <c r="B110" s="60" t="s">
        <v>155</v>
      </c>
      <c r="C110" s="60">
        <v>4075</v>
      </c>
      <c r="D110" s="60">
        <v>225</v>
      </c>
      <c r="E110" s="60">
        <v>375</v>
      </c>
      <c r="F110" s="60">
        <v>0</v>
      </c>
      <c r="G110" s="60">
        <v>225</v>
      </c>
      <c r="H110" s="60">
        <v>375</v>
      </c>
      <c r="I110" s="60">
        <v>357</v>
      </c>
      <c r="J110" s="60">
        <v>0</v>
      </c>
      <c r="K110" s="60">
        <v>375</v>
      </c>
      <c r="L110" s="60">
        <v>225</v>
      </c>
      <c r="M110" s="60">
        <v>0</v>
      </c>
      <c r="N110" s="60">
        <v>375</v>
      </c>
      <c r="O110" s="60">
        <v>6607</v>
      </c>
      <c r="P110" s="60"/>
      <c r="Q110" s="60"/>
      <c r="R110" s="60"/>
      <c r="S110" s="60"/>
      <c r="T110" s="60"/>
      <c r="U110" s="60"/>
      <c r="V110" s="60"/>
      <c r="W110" s="60" t="s">
        <v>127</v>
      </c>
      <c r="X110" s="60"/>
      <c r="Y110" s="60"/>
      <c r="Z110" s="60"/>
      <c r="AA110" s="60"/>
      <c r="AB110" s="60"/>
      <c r="AC110" s="60"/>
      <c r="AD110" s="60"/>
      <c r="AE110" s="60"/>
      <c r="AF110" s="60">
        <v>6607</v>
      </c>
      <c r="AG110" s="60"/>
      <c r="AH110" s="53">
        <f t="shared" si="0"/>
        <v>6607</v>
      </c>
    </row>
    <row r="111" spans="2:34" s="81" customFormat="1" x14ac:dyDescent="0.3">
      <c r="B111" s="50" t="s">
        <v>156</v>
      </c>
      <c r="C111" s="50">
        <v>25</v>
      </c>
      <c r="D111" s="50">
        <v>25</v>
      </c>
      <c r="E111" s="50">
        <v>150</v>
      </c>
      <c r="F111" s="50">
        <v>75</v>
      </c>
      <c r="G111" s="50">
        <v>75</v>
      </c>
      <c r="H111" s="50">
        <v>75</v>
      </c>
      <c r="I111" s="50">
        <v>75</v>
      </c>
      <c r="J111" s="50">
        <v>75</v>
      </c>
      <c r="K111" s="50">
        <v>75</v>
      </c>
      <c r="L111" s="50">
        <v>75</v>
      </c>
      <c r="M111" s="50">
        <v>75</v>
      </c>
      <c r="N111" s="50">
        <v>75</v>
      </c>
      <c r="O111" s="50">
        <v>875</v>
      </c>
      <c r="P111" s="50" t="s">
        <v>127</v>
      </c>
      <c r="Q111" s="50"/>
      <c r="R111" s="50"/>
      <c r="S111" s="50"/>
      <c r="T111" s="50"/>
      <c r="U111" s="50"/>
      <c r="V111" s="50"/>
      <c r="W111" s="50"/>
      <c r="X111" s="50"/>
      <c r="Y111" s="50">
        <v>875</v>
      </c>
      <c r="Z111" s="50"/>
      <c r="AA111" s="50"/>
      <c r="AB111" s="50"/>
      <c r="AC111" s="50"/>
      <c r="AD111" s="50"/>
      <c r="AE111" s="50"/>
      <c r="AF111" s="50"/>
      <c r="AG111" s="50"/>
      <c r="AH111" s="81">
        <f t="shared" si="0"/>
        <v>875</v>
      </c>
    </row>
    <row r="112" spans="2:34" s="63" customFormat="1" x14ac:dyDescent="0.3">
      <c r="B112" s="40" t="s">
        <v>157</v>
      </c>
      <c r="C112" s="40">
        <v>2087</v>
      </c>
      <c r="D112" s="40">
        <v>0</v>
      </c>
      <c r="E112" s="40">
        <v>0</v>
      </c>
      <c r="F112" s="40">
        <v>2087</v>
      </c>
      <c r="G112" s="40">
        <v>0</v>
      </c>
      <c r="H112" s="40">
        <v>0</v>
      </c>
      <c r="I112" s="40">
        <v>2087</v>
      </c>
      <c r="J112" s="40">
        <v>0</v>
      </c>
      <c r="K112" s="40">
        <v>0</v>
      </c>
      <c r="L112" s="40">
        <v>2253.96</v>
      </c>
      <c r="M112" s="40">
        <v>0</v>
      </c>
      <c r="N112" s="40">
        <v>0</v>
      </c>
      <c r="O112" s="40">
        <v>8515</v>
      </c>
      <c r="P112" s="40"/>
      <c r="Q112" s="40"/>
      <c r="R112" s="40"/>
      <c r="S112" s="40"/>
      <c r="T112" s="40" t="s">
        <v>127</v>
      </c>
      <c r="U112" s="40"/>
      <c r="V112" s="40"/>
      <c r="W112" s="40" t="s">
        <v>127</v>
      </c>
      <c r="X112" s="40"/>
      <c r="Y112" s="40"/>
      <c r="Z112" s="40"/>
      <c r="AA112" s="40"/>
      <c r="AB112" s="40"/>
      <c r="AC112" s="40">
        <v>3715</v>
      </c>
      <c r="AD112" s="40"/>
      <c r="AE112" s="40">
        <v>4800</v>
      </c>
      <c r="AF112" s="40"/>
      <c r="AG112" s="40"/>
      <c r="AH112" s="63">
        <f t="shared" si="0"/>
        <v>8515</v>
      </c>
    </row>
    <row r="113" spans="1:35" s="62" customFormat="1" x14ac:dyDescent="0.3">
      <c r="B113" s="51" t="s">
        <v>158</v>
      </c>
      <c r="C113" s="51">
        <v>3006.78</v>
      </c>
      <c r="D113" s="51">
        <v>3089.67</v>
      </c>
      <c r="E113" s="51">
        <v>3072.66</v>
      </c>
      <c r="F113" s="51">
        <v>2957.02</v>
      </c>
      <c r="G113" s="51">
        <v>3038.06</v>
      </c>
      <c r="H113" s="51">
        <v>2923.4</v>
      </c>
      <c r="I113" s="51">
        <v>3003.19</v>
      </c>
      <c r="J113" s="51">
        <v>2985.84</v>
      </c>
      <c r="K113" s="51">
        <v>2681.16</v>
      </c>
      <c r="L113" s="51">
        <v>2949.84</v>
      </c>
      <c r="M113" s="51">
        <v>2837.69</v>
      </c>
      <c r="N113" s="51">
        <v>2914.29</v>
      </c>
      <c r="O113" s="51">
        <v>35460</v>
      </c>
      <c r="P113" s="51"/>
      <c r="Q113" s="51"/>
      <c r="R113" s="51"/>
      <c r="S113" s="51"/>
      <c r="T113" s="51"/>
      <c r="U113" s="51"/>
      <c r="V113" s="51" t="s">
        <v>127</v>
      </c>
      <c r="W113" s="51"/>
      <c r="X113" s="51"/>
      <c r="Y113" s="51"/>
      <c r="Z113" s="51"/>
      <c r="AA113" s="51"/>
      <c r="AB113" s="51"/>
      <c r="AC113" s="51"/>
      <c r="AD113" s="51"/>
      <c r="AE113" s="51">
        <v>35460</v>
      </c>
      <c r="AF113" s="51"/>
      <c r="AG113" s="51"/>
      <c r="AH113" s="62">
        <f t="shared" si="0"/>
        <v>35460</v>
      </c>
    </row>
    <row r="114" spans="1:35" s="61" customFormat="1" x14ac:dyDescent="0.3">
      <c r="B114" s="47" t="s">
        <v>159</v>
      </c>
      <c r="C114" s="47">
        <v>0</v>
      </c>
      <c r="D114" s="47">
        <v>0</v>
      </c>
      <c r="E114" s="47">
        <v>17500</v>
      </c>
      <c r="F114" s="47">
        <v>0</v>
      </c>
      <c r="G114" s="47">
        <v>0</v>
      </c>
      <c r="H114" s="47">
        <v>17500</v>
      </c>
      <c r="I114" s="47">
        <v>0</v>
      </c>
      <c r="J114" s="47">
        <v>0</v>
      </c>
      <c r="K114" s="47">
        <v>17500</v>
      </c>
      <c r="L114" s="47">
        <v>0</v>
      </c>
      <c r="M114" s="47">
        <v>0</v>
      </c>
      <c r="N114" s="47">
        <v>17500</v>
      </c>
      <c r="O114" s="47">
        <v>65000</v>
      </c>
      <c r="P114" s="47"/>
      <c r="Q114" s="47"/>
      <c r="R114" s="47"/>
      <c r="S114" s="47"/>
      <c r="T114" s="47"/>
      <c r="U114" s="47"/>
      <c r="V114" s="47"/>
      <c r="W114" s="47" t="s">
        <v>127</v>
      </c>
      <c r="X114" s="47"/>
      <c r="Y114" s="47"/>
      <c r="Z114" s="47"/>
      <c r="AA114" s="47"/>
      <c r="AB114" s="47"/>
      <c r="AC114" s="47"/>
      <c r="AD114" s="47"/>
      <c r="AE114" s="47"/>
      <c r="AF114" s="47">
        <v>65000</v>
      </c>
      <c r="AG114" s="47"/>
      <c r="AH114" s="61">
        <f t="shared" ref="AH114:AH145" si="1">SUM(Y114:AG114)</f>
        <v>65000</v>
      </c>
    </row>
    <row r="115" spans="1:35" s="1" customFormat="1" x14ac:dyDescent="0.3">
      <c r="B115" s="83" t="s">
        <v>160</v>
      </c>
      <c r="C115" s="83">
        <v>8822.2666666666664</v>
      </c>
      <c r="D115" s="83">
        <v>2519.2666666666669</v>
      </c>
      <c r="E115" s="83">
        <v>2519.2666666666669</v>
      </c>
      <c r="F115" s="83">
        <v>2713.2666666666669</v>
      </c>
      <c r="G115" s="83">
        <v>2859.2666666666669</v>
      </c>
      <c r="H115" s="83">
        <v>5119.2666666666673</v>
      </c>
      <c r="I115" s="83">
        <v>2619.2666666666669</v>
      </c>
      <c r="J115" s="83">
        <v>2519.2666666666669</v>
      </c>
      <c r="K115" s="83">
        <v>2519.2666666666669</v>
      </c>
      <c r="L115" s="83">
        <v>2569.2666666666669</v>
      </c>
      <c r="M115" s="83">
        <v>2519.2666666666669</v>
      </c>
      <c r="N115" s="83">
        <v>3018.8666666666663</v>
      </c>
      <c r="O115" s="83">
        <v>39518</v>
      </c>
      <c r="P115" s="83"/>
      <c r="Q115" s="83"/>
      <c r="R115" s="83" t="s">
        <v>127</v>
      </c>
      <c r="S115" s="83"/>
      <c r="T115" s="83" t="s">
        <v>127</v>
      </c>
      <c r="U115" s="83" t="s">
        <v>127</v>
      </c>
      <c r="V115" s="83" t="s">
        <v>127</v>
      </c>
      <c r="W115" s="83" t="s">
        <v>127</v>
      </c>
      <c r="X115" s="83" t="s">
        <v>127</v>
      </c>
      <c r="Y115" s="83"/>
      <c r="Z115" s="83"/>
      <c r="AA115" s="83">
        <v>4104</v>
      </c>
      <c r="AB115" s="83"/>
      <c r="AC115" s="83">
        <v>850</v>
      </c>
      <c r="AD115" s="83">
        <v>3322</v>
      </c>
      <c r="AE115" s="83">
        <v>8114</v>
      </c>
      <c r="AF115" s="83">
        <v>17141.900000000001</v>
      </c>
      <c r="AG115" s="83">
        <v>5986.1</v>
      </c>
      <c r="AH115" s="1">
        <f t="shared" si="1"/>
        <v>39518</v>
      </c>
    </row>
    <row r="116" spans="1:35" s="1" customFormat="1" x14ac:dyDescent="0.3">
      <c r="B116" s="83" t="s">
        <v>161</v>
      </c>
      <c r="C116" s="83">
        <v>1162.5</v>
      </c>
      <c r="D116" s="83">
        <v>822.50000000000011</v>
      </c>
      <c r="E116" s="83">
        <v>1037.5</v>
      </c>
      <c r="F116" s="83">
        <v>894.5</v>
      </c>
      <c r="G116" s="83">
        <v>3516.8749999999995</v>
      </c>
      <c r="H116" s="83">
        <v>3670</v>
      </c>
      <c r="I116" s="83">
        <v>1417.5</v>
      </c>
      <c r="J116" s="83">
        <v>1177.4999999999998</v>
      </c>
      <c r="K116" s="83">
        <v>1392.4999999999998</v>
      </c>
      <c r="L116" s="83">
        <v>894.5</v>
      </c>
      <c r="M116" s="83">
        <v>1022.5000000000001</v>
      </c>
      <c r="N116" s="83">
        <v>932.74000000000012</v>
      </c>
      <c r="O116" s="83">
        <v>17942</v>
      </c>
      <c r="P116" s="83"/>
      <c r="Q116" s="83"/>
      <c r="R116" s="83" t="s">
        <v>127</v>
      </c>
      <c r="S116" s="83"/>
      <c r="T116" s="83" t="s">
        <v>127</v>
      </c>
      <c r="U116" s="83"/>
      <c r="V116" s="83" t="s">
        <v>127</v>
      </c>
      <c r="W116" s="83" t="s">
        <v>127</v>
      </c>
      <c r="X116" s="83" t="s">
        <v>127</v>
      </c>
      <c r="Y116" s="83"/>
      <c r="Z116" s="83"/>
      <c r="AA116" s="83">
        <v>666.6</v>
      </c>
      <c r="AB116" s="83"/>
      <c r="AC116" s="83">
        <v>60</v>
      </c>
      <c r="AD116" s="83"/>
      <c r="AE116" s="83">
        <v>14852</v>
      </c>
      <c r="AF116" s="83">
        <v>1333.2</v>
      </c>
      <c r="AG116" s="83">
        <v>1030.2</v>
      </c>
      <c r="AH116" s="1">
        <f t="shared" si="1"/>
        <v>17942</v>
      </c>
    </row>
    <row r="117" spans="1:35" s="76" customFormat="1" x14ac:dyDescent="0.3">
      <c r="A117" s="76">
        <v>2</v>
      </c>
      <c r="B117" s="45" t="s">
        <v>162</v>
      </c>
      <c r="C117" s="45">
        <v>0</v>
      </c>
      <c r="D117" s="45">
        <v>925</v>
      </c>
      <c r="E117" s="45">
        <v>0</v>
      </c>
      <c r="F117" s="45">
        <v>1000</v>
      </c>
      <c r="G117" s="45">
        <v>0</v>
      </c>
      <c r="H117" s="45">
        <v>325</v>
      </c>
      <c r="I117" s="45">
        <v>0</v>
      </c>
      <c r="J117" s="45">
        <v>0</v>
      </c>
      <c r="K117" s="45">
        <v>0</v>
      </c>
      <c r="L117" s="45">
        <v>325</v>
      </c>
      <c r="M117" s="45">
        <v>0</v>
      </c>
      <c r="N117" s="45">
        <v>500</v>
      </c>
      <c r="O117" s="45">
        <v>3075</v>
      </c>
      <c r="P117" s="45"/>
      <c r="Q117" s="45" t="s">
        <v>127</v>
      </c>
      <c r="R117" s="45" t="s">
        <v>127</v>
      </c>
      <c r="S117" s="45"/>
      <c r="T117" s="45"/>
      <c r="U117" s="45"/>
      <c r="V117" s="45"/>
      <c r="W117" s="45"/>
      <c r="X117" s="45" t="s">
        <v>127</v>
      </c>
      <c r="Y117" s="45"/>
      <c r="Z117" s="45">
        <v>1975</v>
      </c>
      <c r="AA117" s="45">
        <v>600</v>
      </c>
      <c r="AB117" s="45"/>
      <c r="AC117" s="45"/>
      <c r="AD117" s="45"/>
      <c r="AE117" s="45"/>
      <c r="AF117" s="45"/>
      <c r="AG117" s="45">
        <v>500</v>
      </c>
      <c r="AH117" s="76">
        <f t="shared" si="1"/>
        <v>3075</v>
      </c>
    </row>
    <row r="118" spans="1:35" s="63" customFormat="1" x14ac:dyDescent="0.3">
      <c r="B118" s="40" t="s">
        <v>163</v>
      </c>
      <c r="C118" s="40">
        <v>4402.8424999999997</v>
      </c>
      <c r="D118" s="40">
        <v>0</v>
      </c>
      <c r="E118" s="40">
        <v>0</v>
      </c>
      <c r="F118" s="40">
        <v>4402.8424999999997</v>
      </c>
      <c r="G118" s="40">
        <v>0</v>
      </c>
      <c r="H118" s="40">
        <v>0</v>
      </c>
      <c r="I118" s="40">
        <v>4402.8424999999997</v>
      </c>
      <c r="J118" s="40">
        <v>3685.5</v>
      </c>
      <c r="K118" s="40">
        <v>0</v>
      </c>
      <c r="L118" s="40">
        <v>4925.9846250000001</v>
      </c>
      <c r="M118" s="40">
        <v>0</v>
      </c>
      <c r="N118" s="40">
        <v>0</v>
      </c>
      <c r="O118" s="40">
        <v>21821</v>
      </c>
      <c r="P118" s="40"/>
      <c r="Q118" s="40"/>
      <c r="R118" s="40" t="s">
        <v>127</v>
      </c>
      <c r="S118" s="40"/>
      <c r="T118" s="40" t="s">
        <v>127</v>
      </c>
      <c r="U118" s="40" t="s">
        <v>127</v>
      </c>
      <c r="V118" s="40" t="s">
        <v>127</v>
      </c>
      <c r="W118" s="40" t="s">
        <v>127</v>
      </c>
      <c r="X118" s="40" t="s">
        <v>127</v>
      </c>
      <c r="Y118" s="40"/>
      <c r="Z118" s="40"/>
      <c r="AA118" s="40">
        <v>1527.4700000000003</v>
      </c>
      <c r="AB118" s="40"/>
      <c r="AC118" s="40">
        <v>2182.1</v>
      </c>
      <c r="AD118" s="40">
        <v>654.63</v>
      </c>
      <c r="AE118" s="40">
        <v>12001.550000000001</v>
      </c>
      <c r="AF118" s="40">
        <v>3054.9400000000005</v>
      </c>
      <c r="AG118" s="40">
        <v>2400.31</v>
      </c>
      <c r="AH118" s="63">
        <f t="shared" si="1"/>
        <v>21821.000000000004</v>
      </c>
    </row>
    <row r="119" spans="1:35" s="81" customFormat="1" x14ac:dyDescent="0.3">
      <c r="B119" s="50" t="s">
        <v>164</v>
      </c>
      <c r="C119" s="50">
        <v>700</v>
      </c>
      <c r="D119" s="50">
        <v>0</v>
      </c>
      <c r="E119" s="50">
        <v>0</v>
      </c>
      <c r="F119" s="50">
        <v>800</v>
      </c>
      <c r="G119" s="50">
        <v>800</v>
      </c>
      <c r="H119" s="50">
        <v>800</v>
      </c>
      <c r="I119" s="50">
        <v>1110</v>
      </c>
      <c r="J119" s="50">
        <v>800</v>
      </c>
      <c r="K119" s="50">
        <v>800</v>
      </c>
      <c r="L119" s="50">
        <v>800</v>
      </c>
      <c r="M119" s="50">
        <v>800</v>
      </c>
      <c r="N119" s="50">
        <v>800</v>
      </c>
      <c r="O119" s="50">
        <v>8210</v>
      </c>
      <c r="P119" s="50"/>
      <c r="Q119" s="50" t="s">
        <v>127</v>
      </c>
      <c r="R119" s="50"/>
      <c r="S119" s="50"/>
      <c r="T119" s="50"/>
      <c r="U119" s="50"/>
      <c r="V119" s="50"/>
      <c r="W119" s="50"/>
      <c r="X119" s="50"/>
      <c r="Y119" s="50"/>
      <c r="Z119" s="50">
        <v>8210</v>
      </c>
      <c r="AA119" s="50"/>
      <c r="AB119" s="50"/>
      <c r="AC119" s="50"/>
      <c r="AD119" s="50"/>
      <c r="AE119" s="50"/>
      <c r="AF119" s="50"/>
      <c r="AG119" s="50"/>
      <c r="AH119" s="81">
        <f t="shared" si="1"/>
        <v>8210</v>
      </c>
    </row>
    <row r="120" spans="1:35" s="1" customFormat="1" x14ac:dyDescent="0.3">
      <c r="B120" s="83" t="s">
        <v>165</v>
      </c>
      <c r="C120" s="83">
        <v>75</v>
      </c>
      <c r="D120" s="83">
        <v>75</v>
      </c>
      <c r="E120" s="83">
        <v>75</v>
      </c>
      <c r="F120" s="83">
        <v>75</v>
      </c>
      <c r="G120" s="83">
        <v>75</v>
      </c>
      <c r="H120" s="83">
        <v>75</v>
      </c>
      <c r="I120" s="83">
        <v>75</v>
      </c>
      <c r="J120" s="83">
        <v>75</v>
      </c>
      <c r="K120" s="83">
        <v>75</v>
      </c>
      <c r="L120" s="83">
        <v>75</v>
      </c>
      <c r="M120" s="83">
        <v>75</v>
      </c>
      <c r="N120" s="83">
        <v>75</v>
      </c>
      <c r="O120" s="83">
        <v>900</v>
      </c>
      <c r="P120" s="83"/>
      <c r="Q120" s="83"/>
      <c r="R120" s="83" t="s">
        <v>127</v>
      </c>
      <c r="S120" s="83"/>
      <c r="T120" s="83"/>
      <c r="U120" s="83"/>
      <c r="V120" s="83"/>
      <c r="W120" s="83" t="s">
        <v>127</v>
      </c>
      <c r="X120" s="83" t="s">
        <v>127</v>
      </c>
      <c r="Y120" s="83"/>
      <c r="Z120" s="83"/>
      <c r="AA120" s="83">
        <v>198</v>
      </c>
      <c r="AB120" s="83"/>
      <c r="AC120" s="83"/>
      <c r="AD120" s="83"/>
      <c r="AE120" s="83"/>
      <c r="AF120" s="83">
        <v>396</v>
      </c>
      <c r="AG120" s="83">
        <v>306</v>
      </c>
      <c r="AH120" s="1">
        <f t="shared" si="1"/>
        <v>900</v>
      </c>
    </row>
    <row r="121" spans="1:35" s="64" customFormat="1" x14ac:dyDescent="0.3">
      <c r="B121" s="43" t="s">
        <v>166</v>
      </c>
      <c r="C121" s="43">
        <v>665</v>
      </c>
      <c r="D121" s="43">
        <v>680</v>
      </c>
      <c r="E121" s="43">
        <v>865</v>
      </c>
      <c r="F121" s="43">
        <v>630</v>
      </c>
      <c r="G121" s="43">
        <v>665</v>
      </c>
      <c r="H121" s="43">
        <v>895</v>
      </c>
      <c r="I121" s="43">
        <v>665</v>
      </c>
      <c r="J121" s="43">
        <v>580</v>
      </c>
      <c r="K121" s="43">
        <v>865</v>
      </c>
      <c r="L121" s="43">
        <v>705</v>
      </c>
      <c r="M121" s="43">
        <v>690</v>
      </c>
      <c r="N121" s="43">
        <v>780</v>
      </c>
      <c r="O121" s="43">
        <v>8685</v>
      </c>
      <c r="P121" s="43"/>
      <c r="Q121" s="43"/>
      <c r="R121" s="43" t="s">
        <v>127</v>
      </c>
      <c r="S121" s="43"/>
      <c r="T121" s="43" t="s">
        <v>127</v>
      </c>
      <c r="U121" s="43" t="s">
        <v>127</v>
      </c>
      <c r="V121" s="43" t="s">
        <v>127</v>
      </c>
      <c r="W121" s="43" t="s">
        <v>127</v>
      </c>
      <c r="X121" s="43" t="s">
        <v>127</v>
      </c>
      <c r="Y121" s="43"/>
      <c r="Z121" s="43"/>
      <c r="AA121" s="43">
        <v>900</v>
      </c>
      <c r="AB121" s="43"/>
      <c r="AC121" s="43">
        <v>2600</v>
      </c>
      <c r="AD121" s="43">
        <v>1200</v>
      </c>
      <c r="AE121" s="43">
        <v>1160</v>
      </c>
      <c r="AF121" s="43">
        <v>2000</v>
      </c>
      <c r="AG121" s="43">
        <v>825</v>
      </c>
      <c r="AH121" s="64">
        <f t="shared" si="1"/>
        <v>8685</v>
      </c>
    </row>
    <row r="122" spans="1:35" s="52" customFormat="1" x14ac:dyDescent="0.3">
      <c r="B122" s="48" t="s">
        <v>167</v>
      </c>
      <c r="C122" s="48">
        <v>0</v>
      </c>
      <c r="D122" s="48">
        <v>75000</v>
      </c>
      <c r="E122" s="48">
        <v>75000</v>
      </c>
      <c r="F122" s="48">
        <v>75000</v>
      </c>
      <c r="G122" s="48">
        <v>0</v>
      </c>
      <c r="H122" s="48">
        <v>75000</v>
      </c>
      <c r="I122" s="48">
        <v>0</v>
      </c>
      <c r="J122" s="48">
        <v>0</v>
      </c>
      <c r="K122" s="48">
        <v>0</v>
      </c>
      <c r="L122" s="48">
        <v>150000</v>
      </c>
      <c r="M122" s="48">
        <v>0</v>
      </c>
      <c r="N122" s="48">
        <v>150000</v>
      </c>
      <c r="O122" s="48">
        <v>600000</v>
      </c>
      <c r="P122" s="48"/>
      <c r="Q122" s="48" t="s">
        <v>127</v>
      </c>
      <c r="R122" s="48"/>
      <c r="S122" s="48"/>
      <c r="T122" s="48"/>
      <c r="U122" s="48"/>
      <c r="V122" s="48"/>
      <c r="W122" s="48"/>
      <c r="X122" s="48"/>
      <c r="Y122" s="48"/>
      <c r="Z122" s="48">
        <v>600000</v>
      </c>
      <c r="AA122" s="48"/>
      <c r="AB122" s="48"/>
      <c r="AC122" s="48"/>
      <c r="AD122" s="48"/>
      <c r="AE122" s="48"/>
      <c r="AF122" s="48"/>
      <c r="AG122" s="48"/>
      <c r="AH122" s="52">
        <f t="shared" si="1"/>
        <v>600000</v>
      </c>
    </row>
    <row r="123" spans="1:35" s="74" customFormat="1" x14ac:dyDescent="0.3">
      <c r="B123" s="49" t="s">
        <v>168</v>
      </c>
      <c r="C123" s="49">
        <v>380.86</v>
      </c>
      <c r="D123" s="49">
        <v>380.86</v>
      </c>
      <c r="E123" s="49">
        <v>380.86</v>
      </c>
      <c r="F123" s="49">
        <v>380.86</v>
      </c>
      <c r="G123" s="49">
        <v>380.86</v>
      </c>
      <c r="H123" s="49">
        <v>380.86</v>
      </c>
      <c r="I123" s="49">
        <v>380.86</v>
      </c>
      <c r="J123" s="49">
        <v>380.86</v>
      </c>
      <c r="K123" s="49">
        <v>380.86</v>
      </c>
      <c r="L123" s="49">
        <v>380.86</v>
      </c>
      <c r="M123" s="49">
        <v>380.86</v>
      </c>
      <c r="N123" s="49">
        <v>380.86</v>
      </c>
      <c r="O123" s="49">
        <v>4571</v>
      </c>
      <c r="P123" s="49"/>
      <c r="Q123" s="49"/>
      <c r="R123" s="49"/>
      <c r="S123" s="49"/>
      <c r="T123" s="49"/>
      <c r="U123" s="49"/>
      <c r="V123" s="49" t="s">
        <v>127</v>
      </c>
      <c r="W123" s="49"/>
      <c r="X123" s="49"/>
      <c r="Y123" s="49"/>
      <c r="Z123" s="49"/>
      <c r="AA123" s="49"/>
      <c r="AB123" s="49"/>
      <c r="AC123" s="49"/>
      <c r="AD123" s="49"/>
      <c r="AE123" s="49">
        <v>4571</v>
      </c>
      <c r="AF123" s="49"/>
      <c r="AG123" s="49"/>
      <c r="AH123" s="74">
        <f t="shared" si="1"/>
        <v>4571</v>
      </c>
    </row>
    <row r="124" spans="1:35" s="1" customFormat="1" x14ac:dyDescent="0.3">
      <c r="B124" s="83" t="s">
        <v>169</v>
      </c>
      <c r="C124" s="83">
        <v>1900</v>
      </c>
      <c r="D124" s="83">
        <v>1900</v>
      </c>
      <c r="E124" s="83">
        <v>1900</v>
      </c>
      <c r="F124" s="83">
        <v>1900</v>
      </c>
      <c r="G124" s="83">
        <v>1900</v>
      </c>
      <c r="H124" s="83">
        <v>1900</v>
      </c>
      <c r="I124" s="83">
        <v>1900</v>
      </c>
      <c r="J124" s="83">
        <v>1900</v>
      </c>
      <c r="K124" s="83">
        <v>1900</v>
      </c>
      <c r="L124" s="83">
        <v>1900</v>
      </c>
      <c r="M124" s="83">
        <v>1900</v>
      </c>
      <c r="N124" s="83">
        <v>1900</v>
      </c>
      <c r="O124" s="83">
        <v>22800</v>
      </c>
      <c r="P124" s="83"/>
      <c r="Q124" s="83"/>
      <c r="R124" s="83" t="s">
        <v>127</v>
      </c>
      <c r="S124" s="83"/>
      <c r="T124" s="83"/>
      <c r="U124" s="83"/>
      <c r="V124" s="83"/>
      <c r="W124" s="83" t="s">
        <v>127</v>
      </c>
      <c r="X124" s="83" t="s">
        <v>127</v>
      </c>
      <c r="Y124" s="83"/>
      <c r="Z124" s="83"/>
      <c r="AA124" s="83">
        <v>5092</v>
      </c>
      <c r="AB124" s="83"/>
      <c r="AC124" s="83"/>
      <c r="AD124" s="83"/>
      <c r="AE124" s="83"/>
      <c r="AF124" s="83">
        <v>10108</v>
      </c>
      <c r="AG124" s="83">
        <v>7600</v>
      </c>
      <c r="AH124" s="1">
        <f t="shared" si="1"/>
        <v>22800</v>
      </c>
    </row>
    <row r="125" spans="1:35" s="81" customFormat="1" x14ac:dyDescent="0.3">
      <c r="B125" s="50" t="s">
        <v>170</v>
      </c>
      <c r="C125" s="50">
        <v>458.33333333333331</v>
      </c>
      <c r="D125" s="50">
        <v>458.33333333333331</v>
      </c>
      <c r="E125" s="50">
        <v>458.33333333333331</v>
      </c>
      <c r="F125" s="50">
        <v>458.33333333333331</v>
      </c>
      <c r="G125" s="50">
        <v>458.33333333333331</v>
      </c>
      <c r="H125" s="50">
        <v>458.33333333333331</v>
      </c>
      <c r="I125" s="50">
        <v>458.33333333333331</v>
      </c>
      <c r="J125" s="50">
        <v>458.33333333333331</v>
      </c>
      <c r="K125" s="50">
        <v>458.33333333333331</v>
      </c>
      <c r="L125" s="50">
        <v>458.33333333333331</v>
      </c>
      <c r="M125" s="50">
        <v>458.33333333333331</v>
      </c>
      <c r="N125" s="50">
        <v>458.33333333333331</v>
      </c>
      <c r="O125" s="50">
        <v>5000</v>
      </c>
      <c r="P125" s="50"/>
      <c r="Q125" s="50"/>
      <c r="R125" s="50"/>
      <c r="S125" s="50"/>
      <c r="T125" s="50"/>
      <c r="U125" s="50"/>
      <c r="V125" s="50" t="s">
        <v>127</v>
      </c>
      <c r="W125" s="50"/>
      <c r="X125" s="50"/>
      <c r="Y125" s="50"/>
      <c r="Z125" s="50"/>
      <c r="AA125" s="50"/>
      <c r="AB125" s="50"/>
      <c r="AC125" s="50"/>
      <c r="AD125" s="50"/>
      <c r="AE125" s="50">
        <v>5000</v>
      </c>
      <c r="AF125" s="50"/>
      <c r="AG125" s="50"/>
      <c r="AH125" s="81">
        <f t="shared" si="1"/>
        <v>5000</v>
      </c>
    </row>
    <row r="126" spans="1:35" s="55" customFormat="1" x14ac:dyDescent="0.3">
      <c r="B126" s="54" t="s">
        <v>171</v>
      </c>
      <c r="C126" s="54">
        <v>13095.416666666666</v>
      </c>
      <c r="D126" s="54">
        <v>13095.416666666666</v>
      </c>
      <c r="E126" s="54">
        <v>13095.416666666666</v>
      </c>
      <c r="F126" s="54">
        <v>13095.416666666666</v>
      </c>
      <c r="G126" s="54">
        <v>13095.416666666666</v>
      </c>
      <c r="H126" s="54">
        <v>13095.416666666666</v>
      </c>
      <c r="I126" s="54">
        <v>13095.416666666666</v>
      </c>
      <c r="J126" s="54">
        <v>13095.416666666666</v>
      </c>
      <c r="K126" s="54">
        <v>13095.416666666666</v>
      </c>
      <c r="L126" s="54">
        <v>13095.416666666666</v>
      </c>
      <c r="M126" s="54">
        <v>13095.416666666666</v>
      </c>
      <c r="N126" s="54">
        <v>13095.416666666666</v>
      </c>
      <c r="O126" s="54">
        <v>157145</v>
      </c>
      <c r="P126" s="54"/>
      <c r="Q126" s="54"/>
      <c r="R126" s="54"/>
      <c r="S126" s="54"/>
      <c r="T126" s="54"/>
      <c r="U126" s="54"/>
      <c r="V126" s="54"/>
      <c r="W126" s="54"/>
      <c r="X126" s="54"/>
      <c r="Y126" s="54"/>
      <c r="Z126" s="54"/>
      <c r="AA126" s="54">
        <v>14392</v>
      </c>
      <c r="AB126" s="54"/>
      <c r="AC126" s="54">
        <v>22375</v>
      </c>
      <c r="AD126" s="54"/>
      <c r="AE126" s="54">
        <v>56135</v>
      </c>
      <c r="AF126" s="54">
        <v>34423</v>
      </c>
      <c r="AG126" s="54">
        <v>29820</v>
      </c>
      <c r="AH126" s="55">
        <f t="shared" si="1"/>
        <v>157145</v>
      </c>
    </row>
    <row r="127" spans="1:35" s="76" customFormat="1" x14ac:dyDescent="0.3">
      <c r="A127" s="76">
        <v>3</v>
      </c>
      <c r="B127" s="45" t="s">
        <v>172</v>
      </c>
      <c r="C127" s="45">
        <v>387.0825000000001</v>
      </c>
      <c r="D127" s="45">
        <v>387.0825000000001</v>
      </c>
      <c r="E127" s="45">
        <v>387.0825000000001</v>
      </c>
      <c r="F127" s="45">
        <v>387.0825000000001</v>
      </c>
      <c r="G127" s="45">
        <v>387.0825000000001</v>
      </c>
      <c r="H127" s="45">
        <v>652.20749999999998</v>
      </c>
      <c r="I127" s="45">
        <v>387.0825000000001</v>
      </c>
      <c r="J127" s="45">
        <v>387.0825000000001</v>
      </c>
      <c r="K127" s="45">
        <v>387.0825000000001</v>
      </c>
      <c r="L127" s="45">
        <v>387.0825000000001</v>
      </c>
      <c r="M127" s="45">
        <v>387.0825000000001</v>
      </c>
      <c r="N127" s="45">
        <v>1508.9425000000001</v>
      </c>
      <c r="O127" s="45">
        <v>5732</v>
      </c>
      <c r="P127" s="45"/>
      <c r="Q127" s="45"/>
      <c r="R127" s="45" t="s">
        <v>127</v>
      </c>
      <c r="S127" s="45"/>
      <c r="T127" s="45" t="s">
        <v>127</v>
      </c>
      <c r="U127" s="45" t="s">
        <v>127</v>
      </c>
      <c r="V127" s="45" t="s">
        <v>127</v>
      </c>
      <c r="W127" s="45" t="s">
        <v>127</v>
      </c>
      <c r="X127" s="45" t="s">
        <v>127</v>
      </c>
      <c r="Y127" s="45"/>
      <c r="Z127" s="45"/>
      <c r="AA127" s="45">
        <v>401.24000000000007</v>
      </c>
      <c r="AB127" s="45"/>
      <c r="AC127" s="45">
        <v>573.20000000000005</v>
      </c>
      <c r="AD127" s="45">
        <v>171.95999999999998</v>
      </c>
      <c r="AE127" s="45">
        <v>3152.6000000000004</v>
      </c>
      <c r="AF127" s="45">
        <v>802.48000000000013</v>
      </c>
      <c r="AG127" s="45">
        <v>630.5200000000001</v>
      </c>
      <c r="AH127" s="76">
        <f t="shared" si="1"/>
        <v>5732.0000000000009</v>
      </c>
    </row>
    <row r="128" spans="1:35" s="81" customFormat="1" x14ac:dyDescent="0.3">
      <c r="B128" s="50" t="s">
        <v>173</v>
      </c>
      <c r="C128" s="50">
        <v>500</v>
      </c>
      <c r="D128" s="50">
        <v>500</v>
      </c>
      <c r="E128" s="50">
        <v>500</v>
      </c>
      <c r="F128" s="50">
        <v>0</v>
      </c>
      <c r="G128" s="50">
        <v>0</v>
      </c>
      <c r="H128" s="50">
        <v>0</v>
      </c>
      <c r="I128" s="50">
        <v>0</v>
      </c>
      <c r="J128" s="50">
        <v>0</v>
      </c>
      <c r="K128" s="50">
        <v>0</v>
      </c>
      <c r="L128" s="50">
        <v>0</v>
      </c>
      <c r="M128" s="50">
        <v>0</v>
      </c>
      <c r="N128" s="50">
        <v>0</v>
      </c>
      <c r="O128" s="50">
        <v>1500</v>
      </c>
      <c r="P128" s="50"/>
      <c r="Q128" s="50"/>
      <c r="R128" s="50"/>
      <c r="S128" s="50"/>
      <c r="T128" s="50" t="s">
        <v>127</v>
      </c>
      <c r="U128" s="50"/>
      <c r="V128" s="50"/>
      <c r="W128" s="50"/>
      <c r="X128" s="50"/>
      <c r="Y128" s="50"/>
      <c r="Z128" s="50"/>
      <c r="AA128" s="50"/>
      <c r="AB128" s="50"/>
      <c r="AC128" s="50">
        <v>1500</v>
      </c>
      <c r="AD128" s="50"/>
      <c r="AE128" s="50"/>
      <c r="AF128" s="50"/>
      <c r="AG128" s="50"/>
      <c r="AH128" s="81">
        <f t="shared" si="1"/>
        <v>1500</v>
      </c>
      <c r="AI128" s="81" t="s">
        <v>200</v>
      </c>
    </row>
    <row r="129" spans="1:35" s="1" customFormat="1" x14ac:dyDescent="0.3">
      <c r="B129" s="83" t="s">
        <v>174</v>
      </c>
      <c r="C129" s="83">
        <v>391</v>
      </c>
      <c r="D129" s="83">
        <v>388</v>
      </c>
      <c r="E129" s="83">
        <v>311</v>
      </c>
      <c r="F129" s="83">
        <v>286</v>
      </c>
      <c r="G129" s="83">
        <v>493</v>
      </c>
      <c r="H129" s="83">
        <v>386</v>
      </c>
      <c r="I129" s="83">
        <v>311</v>
      </c>
      <c r="J129" s="83">
        <v>388</v>
      </c>
      <c r="K129" s="83">
        <v>391</v>
      </c>
      <c r="L129" s="83">
        <v>286</v>
      </c>
      <c r="M129" s="83">
        <v>413</v>
      </c>
      <c r="N129" s="83">
        <v>286</v>
      </c>
      <c r="O129" s="83">
        <v>4330</v>
      </c>
      <c r="P129" s="83" t="s">
        <v>127</v>
      </c>
      <c r="Q129" s="83" t="s">
        <v>127</v>
      </c>
      <c r="R129" s="83" t="s">
        <v>127</v>
      </c>
      <c r="S129" s="83"/>
      <c r="T129" s="83" t="s">
        <v>127</v>
      </c>
      <c r="U129" s="83"/>
      <c r="V129" s="83" t="s">
        <v>127</v>
      </c>
      <c r="W129" s="83" t="s">
        <v>127</v>
      </c>
      <c r="X129" s="83" t="s">
        <v>127</v>
      </c>
      <c r="Y129" s="83">
        <v>450</v>
      </c>
      <c r="Z129" s="83">
        <v>612</v>
      </c>
      <c r="AA129" s="83">
        <v>436</v>
      </c>
      <c r="AB129" s="83"/>
      <c r="AC129" s="83">
        <v>100</v>
      </c>
      <c r="AD129" s="83">
        <v>180</v>
      </c>
      <c r="AE129" s="83">
        <v>0</v>
      </c>
      <c r="AF129" s="83">
        <v>1636</v>
      </c>
      <c r="AG129" s="83">
        <v>916</v>
      </c>
      <c r="AH129" s="1">
        <f t="shared" si="1"/>
        <v>4330</v>
      </c>
    </row>
    <row r="130" spans="1:35" s="53" customFormat="1" x14ac:dyDescent="0.3">
      <c r="B130" s="60" t="s">
        <v>175</v>
      </c>
      <c r="C130" s="60">
        <v>7258.333333333333</v>
      </c>
      <c r="D130" s="60">
        <v>1058.3333333333333</v>
      </c>
      <c r="E130" s="60">
        <v>2213.333333333333</v>
      </c>
      <c r="F130" s="60">
        <v>4458.333333333333</v>
      </c>
      <c r="G130" s="60">
        <v>1813.3333333333333</v>
      </c>
      <c r="H130" s="60">
        <v>3788.333333333333</v>
      </c>
      <c r="I130" s="60">
        <v>4458.333333333333</v>
      </c>
      <c r="J130" s="60">
        <v>2208.3333333333335</v>
      </c>
      <c r="K130" s="60">
        <v>2163.333333333333</v>
      </c>
      <c r="L130" s="60">
        <v>4458.333333333333</v>
      </c>
      <c r="M130" s="60">
        <v>858.33333333333326</v>
      </c>
      <c r="N130" s="60">
        <v>1488.3333333333333</v>
      </c>
      <c r="O130" s="60">
        <v>35000</v>
      </c>
      <c r="P130" s="60" t="s">
        <v>127</v>
      </c>
      <c r="Q130" s="60" t="s">
        <v>127</v>
      </c>
      <c r="R130" s="60" t="s">
        <v>127</v>
      </c>
      <c r="S130" s="60" t="s">
        <v>127</v>
      </c>
      <c r="T130" s="60" t="s">
        <v>127</v>
      </c>
      <c r="U130" s="60" t="s">
        <v>127</v>
      </c>
      <c r="V130" s="60" t="s">
        <v>127</v>
      </c>
      <c r="W130" s="60" t="s">
        <v>127</v>
      </c>
      <c r="X130" s="60" t="s">
        <v>127</v>
      </c>
      <c r="Y130" s="60">
        <v>1900</v>
      </c>
      <c r="Z130" s="60">
        <v>120</v>
      </c>
      <c r="AA130" s="60">
        <v>600</v>
      </c>
      <c r="AB130" s="60">
        <v>400</v>
      </c>
      <c r="AC130" s="60">
        <v>350</v>
      </c>
      <c r="AD130" s="60">
        <v>1300</v>
      </c>
      <c r="AE130" s="60">
        <v>4300</v>
      </c>
      <c r="AF130" s="60">
        <v>25425</v>
      </c>
      <c r="AG130" s="60">
        <v>605</v>
      </c>
      <c r="AH130" s="53">
        <f t="shared" si="1"/>
        <v>35000</v>
      </c>
    </row>
    <row r="131" spans="1:35" s="76" customFormat="1" x14ac:dyDescent="0.3">
      <c r="A131" s="76">
        <v>4</v>
      </c>
      <c r="B131" s="45" t="s">
        <v>176</v>
      </c>
      <c r="C131" s="45">
        <v>0</v>
      </c>
      <c r="D131" s="45">
        <v>0</v>
      </c>
      <c r="E131" s="45">
        <v>150</v>
      </c>
      <c r="F131" s="45">
        <v>0</v>
      </c>
      <c r="G131" s="45">
        <v>45</v>
      </c>
      <c r="H131" s="45">
        <v>0</v>
      </c>
      <c r="I131" s="45">
        <v>0</v>
      </c>
      <c r="J131" s="45">
        <v>0</v>
      </c>
      <c r="K131" s="45">
        <v>0</v>
      </c>
      <c r="L131" s="45">
        <v>0</v>
      </c>
      <c r="M131" s="45">
        <v>0</v>
      </c>
      <c r="N131" s="45">
        <v>150</v>
      </c>
      <c r="O131" s="45">
        <v>345</v>
      </c>
      <c r="P131" s="45"/>
      <c r="Q131" s="45"/>
      <c r="R131" s="45" t="s">
        <v>127</v>
      </c>
      <c r="S131" s="45"/>
      <c r="T131" s="45" t="s">
        <v>127</v>
      </c>
      <c r="U131" s="45"/>
      <c r="V131" s="45"/>
      <c r="W131" s="45"/>
      <c r="X131" s="45"/>
      <c r="Y131" s="45"/>
      <c r="Z131" s="45"/>
      <c r="AA131" s="45">
        <v>45</v>
      </c>
      <c r="AB131" s="45"/>
      <c r="AC131" s="45">
        <v>300</v>
      </c>
      <c r="AD131" s="45"/>
      <c r="AE131" s="45"/>
      <c r="AF131" s="45"/>
      <c r="AG131" s="45"/>
      <c r="AH131" s="76">
        <f t="shared" si="1"/>
        <v>345</v>
      </c>
      <c r="AI131" s="76" t="s">
        <v>200</v>
      </c>
    </row>
    <row r="132" spans="1:35" s="53" customFormat="1" x14ac:dyDescent="0.3">
      <c r="B132" s="60" t="s">
        <v>177</v>
      </c>
      <c r="C132" s="60">
        <v>12028</v>
      </c>
      <c r="D132" s="60">
        <v>0</v>
      </c>
      <c r="E132" s="60">
        <v>0</v>
      </c>
      <c r="F132" s="60">
        <v>0</v>
      </c>
      <c r="G132" s="60">
        <v>0</v>
      </c>
      <c r="H132" s="60">
        <v>0</v>
      </c>
      <c r="I132" s="60">
        <v>0</v>
      </c>
      <c r="J132" s="60">
        <v>0</v>
      </c>
      <c r="K132" s="60">
        <v>0</v>
      </c>
      <c r="L132" s="60">
        <v>0</v>
      </c>
      <c r="M132" s="60">
        <v>0</v>
      </c>
      <c r="N132" s="60">
        <v>0</v>
      </c>
      <c r="O132" s="60">
        <v>9028</v>
      </c>
      <c r="P132" s="60"/>
      <c r="Q132" s="60"/>
      <c r="R132" s="60"/>
      <c r="S132" s="60"/>
      <c r="T132" s="60"/>
      <c r="U132" s="60"/>
      <c r="V132" s="60"/>
      <c r="W132" s="60" t="s">
        <v>127</v>
      </c>
      <c r="X132" s="60"/>
      <c r="Y132" s="60"/>
      <c r="Z132" s="60"/>
      <c r="AA132" s="60"/>
      <c r="AB132" s="60"/>
      <c r="AC132" s="60"/>
      <c r="AD132" s="60"/>
      <c r="AE132" s="60"/>
      <c r="AF132" s="60">
        <v>9028</v>
      </c>
      <c r="AG132" s="60"/>
      <c r="AH132" s="53">
        <f t="shared" si="1"/>
        <v>9028</v>
      </c>
    </row>
    <row r="133" spans="1:35" s="1" customFormat="1" x14ac:dyDescent="0.3">
      <c r="B133" s="83" t="s">
        <v>178</v>
      </c>
      <c r="C133" s="83">
        <v>0</v>
      </c>
      <c r="D133" s="83">
        <v>0</v>
      </c>
      <c r="E133" s="83">
        <v>0</v>
      </c>
      <c r="F133" s="83">
        <v>0</v>
      </c>
      <c r="G133" s="83">
        <v>0</v>
      </c>
      <c r="H133" s="83">
        <v>0</v>
      </c>
      <c r="I133" s="83">
        <v>0</v>
      </c>
      <c r="J133" s="83">
        <v>0</v>
      </c>
      <c r="K133" s="83">
        <v>0</v>
      </c>
      <c r="L133" s="83">
        <v>75</v>
      </c>
      <c r="M133" s="83">
        <v>0</v>
      </c>
      <c r="N133" s="83">
        <v>0</v>
      </c>
      <c r="O133" s="83">
        <v>75</v>
      </c>
      <c r="P133" s="83"/>
      <c r="Q133" s="83"/>
      <c r="R133" s="83"/>
      <c r="S133" s="83"/>
      <c r="T133" s="83"/>
      <c r="U133" s="83"/>
      <c r="V133" s="83" t="s">
        <v>127</v>
      </c>
      <c r="W133" s="83"/>
      <c r="X133" s="83"/>
      <c r="Y133" s="83"/>
      <c r="Z133" s="83"/>
      <c r="AA133" s="83"/>
      <c r="AB133" s="83"/>
      <c r="AC133" s="83"/>
      <c r="AD133" s="83"/>
      <c r="AE133" s="83">
        <v>75</v>
      </c>
      <c r="AF133" s="83"/>
      <c r="AG133" s="83"/>
      <c r="AH133" s="1">
        <f t="shared" si="1"/>
        <v>75</v>
      </c>
    </row>
    <row r="134" spans="1:35" s="1" customFormat="1" x14ac:dyDescent="0.3">
      <c r="B134" s="83" t="s">
        <v>179</v>
      </c>
      <c r="C134" s="83">
        <v>150</v>
      </c>
      <c r="D134" s="83">
        <v>0</v>
      </c>
      <c r="E134" s="83">
        <v>0</v>
      </c>
      <c r="F134" s="83">
        <v>0</v>
      </c>
      <c r="G134" s="83">
        <v>0</v>
      </c>
      <c r="H134" s="83">
        <v>0</v>
      </c>
      <c r="I134" s="83">
        <v>0</v>
      </c>
      <c r="J134" s="83">
        <v>0</v>
      </c>
      <c r="K134" s="83">
        <v>0</v>
      </c>
      <c r="L134" s="83">
        <v>0</v>
      </c>
      <c r="M134" s="83">
        <v>0</v>
      </c>
      <c r="N134" s="83">
        <v>0</v>
      </c>
      <c r="O134" s="83">
        <v>150</v>
      </c>
      <c r="P134" s="83"/>
      <c r="Q134" s="83"/>
      <c r="R134" s="83"/>
      <c r="S134" s="83"/>
      <c r="T134" s="83"/>
      <c r="U134" s="83"/>
      <c r="V134" s="83" t="s">
        <v>127</v>
      </c>
      <c r="W134" s="83"/>
      <c r="X134" s="83"/>
      <c r="Y134" s="83"/>
      <c r="Z134" s="83"/>
      <c r="AA134" s="83"/>
      <c r="AB134" s="83"/>
      <c r="AC134" s="83"/>
      <c r="AD134" s="83"/>
      <c r="AE134" s="83">
        <v>150</v>
      </c>
      <c r="AF134" s="83"/>
      <c r="AG134" s="83"/>
      <c r="AH134" s="1">
        <f t="shared" si="1"/>
        <v>150</v>
      </c>
    </row>
    <row r="135" spans="1:35" s="81" customFormat="1" x14ac:dyDescent="0.3">
      <c r="B135" s="50" t="s">
        <v>180</v>
      </c>
      <c r="C135" s="50">
        <v>800</v>
      </c>
      <c r="D135" s="50">
        <v>725</v>
      </c>
      <c r="E135" s="50">
        <v>1375</v>
      </c>
      <c r="F135" s="50">
        <v>725</v>
      </c>
      <c r="G135" s="50">
        <v>725</v>
      </c>
      <c r="H135" s="50">
        <v>800</v>
      </c>
      <c r="I135" s="50">
        <v>725</v>
      </c>
      <c r="J135" s="50">
        <v>725</v>
      </c>
      <c r="K135" s="50">
        <v>1375</v>
      </c>
      <c r="L135" s="50">
        <v>725</v>
      </c>
      <c r="M135" s="50">
        <v>800</v>
      </c>
      <c r="N135" s="50">
        <v>725</v>
      </c>
      <c r="O135" s="50">
        <v>10225</v>
      </c>
      <c r="P135" s="50"/>
      <c r="Q135" s="50"/>
      <c r="R135" s="50"/>
      <c r="S135" s="50"/>
      <c r="T135" s="50" t="s">
        <v>127</v>
      </c>
      <c r="U135" s="50"/>
      <c r="V135" s="50" t="s">
        <v>127</v>
      </c>
      <c r="W135" s="50"/>
      <c r="X135" s="50"/>
      <c r="Y135" s="50"/>
      <c r="Z135" s="50"/>
      <c r="AA135" s="50"/>
      <c r="AB135" s="50"/>
      <c r="AC135" s="50">
        <v>1525</v>
      </c>
      <c r="AD135" s="50"/>
      <c r="AE135" s="50">
        <v>8700</v>
      </c>
      <c r="AF135" s="50"/>
      <c r="AG135" s="50"/>
      <c r="AH135" s="81">
        <f t="shared" si="1"/>
        <v>10225</v>
      </c>
    </row>
    <row r="136" spans="1:35" s="55" customFormat="1" x14ac:dyDescent="0.3">
      <c r="B136" s="54" t="s">
        <v>181</v>
      </c>
      <c r="C136" s="54">
        <v>112854.95166666666</v>
      </c>
      <c r="D136" s="54">
        <v>112854.95166666666</v>
      </c>
      <c r="E136" s="54">
        <v>112854.95166666666</v>
      </c>
      <c r="F136" s="54">
        <v>114204.95166666666</v>
      </c>
      <c r="G136" s="54">
        <v>112854.95166666666</v>
      </c>
      <c r="H136" s="54">
        <v>112854.95166666666</v>
      </c>
      <c r="I136" s="54">
        <v>112854.95166666666</v>
      </c>
      <c r="J136" s="54">
        <v>112854.95166666666</v>
      </c>
      <c r="K136" s="54">
        <v>112854.95166666666</v>
      </c>
      <c r="L136" s="54">
        <v>112854.95166666666</v>
      </c>
      <c r="M136" s="54">
        <v>112854.95166666666</v>
      </c>
      <c r="N136" s="54">
        <v>112854.95166666666</v>
      </c>
      <c r="O136" s="54">
        <v>1350079</v>
      </c>
      <c r="P136" s="54"/>
      <c r="Q136" s="54"/>
      <c r="R136" s="54"/>
      <c r="S136" s="54"/>
      <c r="T136" s="54"/>
      <c r="U136" s="54"/>
      <c r="V136" s="54"/>
      <c r="W136" s="54"/>
      <c r="X136" s="54"/>
      <c r="Y136" s="54"/>
      <c r="Z136" s="54"/>
      <c r="AA136" s="54">
        <v>97137</v>
      </c>
      <c r="AB136" s="54"/>
      <c r="AC136" s="54">
        <v>224258</v>
      </c>
      <c r="AD136" s="54"/>
      <c r="AE136" s="54">
        <v>584925</v>
      </c>
      <c r="AF136" s="54">
        <v>208221</v>
      </c>
      <c r="AG136" s="54">
        <v>235538</v>
      </c>
      <c r="AH136" s="55">
        <f t="shared" si="1"/>
        <v>1350079</v>
      </c>
    </row>
    <row r="137" spans="1:35" s="1" customFormat="1" x14ac:dyDescent="0.3">
      <c r="B137" s="83" t="s">
        <v>182</v>
      </c>
      <c r="C137" s="83">
        <v>1062.5</v>
      </c>
      <c r="D137" s="83">
        <v>1062.5</v>
      </c>
      <c r="E137" s="83">
        <v>1062.5</v>
      </c>
      <c r="F137" s="83">
        <v>1062.5</v>
      </c>
      <c r="G137" s="83">
        <v>1062.5</v>
      </c>
      <c r="H137" s="83">
        <v>1062.5</v>
      </c>
      <c r="I137" s="83">
        <v>1062.5</v>
      </c>
      <c r="J137" s="83">
        <v>1062.5</v>
      </c>
      <c r="K137" s="83">
        <v>1062.5</v>
      </c>
      <c r="L137" s="83">
        <v>1062.5</v>
      </c>
      <c r="M137" s="83">
        <v>1062.5</v>
      </c>
      <c r="N137" s="83">
        <v>1062.5</v>
      </c>
      <c r="O137" s="83">
        <v>12750</v>
      </c>
      <c r="P137" s="83"/>
      <c r="Q137" s="83"/>
      <c r="R137" s="83"/>
      <c r="S137" s="83"/>
      <c r="T137" s="83"/>
      <c r="U137" s="83"/>
      <c r="V137" s="83" t="s">
        <v>127</v>
      </c>
      <c r="W137" s="83"/>
      <c r="X137" s="83"/>
      <c r="Y137" s="83"/>
      <c r="Z137" s="83"/>
      <c r="AA137" s="83"/>
      <c r="AB137" s="83"/>
      <c r="AC137" s="83"/>
      <c r="AD137" s="83"/>
      <c r="AE137" s="83">
        <v>12750</v>
      </c>
      <c r="AF137" s="83"/>
      <c r="AG137" s="83"/>
      <c r="AH137" s="1">
        <f t="shared" si="1"/>
        <v>12750</v>
      </c>
    </row>
    <row r="138" spans="1:35" hidden="1" x14ac:dyDescent="0.3">
      <c r="B138" s="41" t="s">
        <v>183</v>
      </c>
      <c r="C138" s="41">
        <v>0</v>
      </c>
      <c r="D138" s="41">
        <v>0</v>
      </c>
      <c r="E138" s="41">
        <v>0</v>
      </c>
      <c r="F138" s="41">
        <v>0</v>
      </c>
      <c r="G138" s="41">
        <v>0</v>
      </c>
      <c r="H138" s="41">
        <v>0</v>
      </c>
      <c r="I138" s="41">
        <v>0</v>
      </c>
      <c r="J138" s="41">
        <v>0</v>
      </c>
      <c r="K138" s="41">
        <v>0</v>
      </c>
      <c r="L138" s="41">
        <v>0</v>
      </c>
      <c r="M138" s="41">
        <v>0</v>
      </c>
      <c r="N138" s="41">
        <v>0</v>
      </c>
      <c r="O138" s="41">
        <v>0</v>
      </c>
      <c r="P138" s="41"/>
      <c r="Q138" s="41"/>
      <c r="R138" s="41"/>
      <c r="S138" s="41"/>
      <c r="T138" s="41"/>
      <c r="U138" s="41"/>
      <c r="V138" s="41"/>
      <c r="W138" s="41"/>
      <c r="X138" s="41"/>
      <c r="Y138" s="41"/>
      <c r="Z138" s="41"/>
      <c r="AA138" s="41"/>
      <c r="AB138" s="41"/>
      <c r="AC138" s="41"/>
      <c r="AD138" s="41"/>
      <c r="AE138" s="41"/>
      <c r="AF138" s="41"/>
      <c r="AG138" s="41"/>
      <c r="AH138" s="36">
        <f t="shared" si="1"/>
        <v>0</v>
      </c>
    </row>
    <row r="139" spans="1:35" s="74" customFormat="1" x14ac:dyDescent="0.3">
      <c r="B139" s="49" t="s">
        <v>184</v>
      </c>
      <c r="C139" s="49">
        <v>350.36</v>
      </c>
      <c r="D139" s="49">
        <v>350.36</v>
      </c>
      <c r="E139" s="49">
        <v>396.65999999999997</v>
      </c>
      <c r="F139" s="49">
        <v>396.65999999999997</v>
      </c>
      <c r="G139" s="49">
        <v>396.65999999999997</v>
      </c>
      <c r="H139" s="49">
        <v>396.65999999999997</v>
      </c>
      <c r="I139" s="49">
        <v>396.65999999999997</v>
      </c>
      <c r="J139" s="49">
        <v>396.65999999999997</v>
      </c>
      <c r="K139" s="49">
        <v>396.65999999999997</v>
      </c>
      <c r="L139" s="49">
        <v>396.65999999999997</v>
      </c>
      <c r="M139" s="49">
        <v>396.65999999999997</v>
      </c>
      <c r="N139" s="49">
        <v>396.65999999999997</v>
      </c>
      <c r="O139" s="49">
        <v>4668</v>
      </c>
      <c r="P139" s="49"/>
      <c r="Q139" s="49" t="s">
        <v>127</v>
      </c>
      <c r="R139" s="49"/>
      <c r="S139" s="49"/>
      <c r="T139" s="49"/>
      <c r="U139" s="49"/>
      <c r="V139" s="49" t="s">
        <v>127</v>
      </c>
      <c r="W139" s="49" t="s">
        <v>127</v>
      </c>
      <c r="X139" s="49"/>
      <c r="Y139" s="49"/>
      <c r="Z139" s="49">
        <v>463</v>
      </c>
      <c r="AA139" s="49"/>
      <c r="AB139" s="49"/>
      <c r="AC139" s="49"/>
      <c r="AD139" s="49"/>
      <c r="AE139" s="49">
        <v>2333.9999999999995</v>
      </c>
      <c r="AF139" s="49">
        <v>1871</v>
      </c>
      <c r="AG139" s="49"/>
      <c r="AH139" s="74">
        <f t="shared" si="1"/>
        <v>4668</v>
      </c>
    </row>
    <row r="140" spans="1:35" s="1" customFormat="1" x14ac:dyDescent="0.3">
      <c r="B140" s="83" t="s">
        <v>185</v>
      </c>
      <c r="C140" s="83">
        <v>892.5001666666667</v>
      </c>
      <c r="D140" s="83">
        <v>892.5001666666667</v>
      </c>
      <c r="E140" s="83">
        <v>892.5001666666667</v>
      </c>
      <c r="F140" s="83">
        <v>892.5001666666667</v>
      </c>
      <c r="G140" s="83">
        <v>892.5001666666667</v>
      </c>
      <c r="H140" s="83">
        <v>1392.5001666666667</v>
      </c>
      <c r="I140" s="83">
        <v>892.5001666666667</v>
      </c>
      <c r="J140" s="83">
        <v>892.5001666666667</v>
      </c>
      <c r="K140" s="83">
        <v>892.5001666666667</v>
      </c>
      <c r="L140" s="83">
        <v>892.5001666666667</v>
      </c>
      <c r="M140" s="83">
        <v>892.5001666666667</v>
      </c>
      <c r="N140" s="83">
        <v>1242.5001666666667</v>
      </c>
      <c r="O140" s="83">
        <v>8000</v>
      </c>
      <c r="P140" s="83"/>
      <c r="Q140" s="83"/>
      <c r="R140" s="83" t="s">
        <v>127</v>
      </c>
      <c r="S140" s="83"/>
      <c r="T140" s="83" t="s">
        <v>127</v>
      </c>
      <c r="U140" s="83" t="s">
        <v>127</v>
      </c>
      <c r="V140" s="83" t="s">
        <v>127</v>
      </c>
      <c r="W140" s="83" t="s">
        <v>127</v>
      </c>
      <c r="X140" s="83" t="s">
        <v>127</v>
      </c>
      <c r="Y140" s="83"/>
      <c r="Z140" s="83"/>
      <c r="AA140" s="83">
        <v>616</v>
      </c>
      <c r="AB140" s="83"/>
      <c r="AC140" s="83">
        <v>1050</v>
      </c>
      <c r="AD140" s="83"/>
      <c r="AE140" s="83">
        <v>4150</v>
      </c>
      <c r="AF140" s="83">
        <v>1232</v>
      </c>
      <c r="AG140" s="83">
        <v>952</v>
      </c>
      <c r="AH140" s="1">
        <f t="shared" si="1"/>
        <v>8000</v>
      </c>
    </row>
    <row r="141" spans="1:35" s="1" customFormat="1" x14ac:dyDescent="0.3">
      <c r="B141" s="83" t="s">
        <v>186</v>
      </c>
      <c r="C141" s="83">
        <v>100</v>
      </c>
      <c r="D141" s="83">
        <v>100</v>
      </c>
      <c r="E141" s="83">
        <v>100</v>
      </c>
      <c r="F141" s="83">
        <v>100</v>
      </c>
      <c r="G141" s="83">
        <v>100</v>
      </c>
      <c r="H141" s="83">
        <v>100</v>
      </c>
      <c r="I141" s="83">
        <v>100</v>
      </c>
      <c r="J141" s="83">
        <v>100</v>
      </c>
      <c r="K141" s="83">
        <v>100</v>
      </c>
      <c r="L141" s="83">
        <v>100</v>
      </c>
      <c r="M141" s="83">
        <v>100</v>
      </c>
      <c r="N141" s="83">
        <v>100</v>
      </c>
      <c r="O141" s="83">
        <v>1200</v>
      </c>
      <c r="P141" s="83"/>
      <c r="Q141" s="83"/>
      <c r="R141" s="83"/>
      <c r="S141" s="83"/>
      <c r="T141" s="83" t="s">
        <v>127</v>
      </c>
      <c r="U141" s="83"/>
      <c r="V141" s="83"/>
      <c r="W141" s="83"/>
      <c r="X141" s="83"/>
      <c r="Y141" s="83"/>
      <c r="Z141" s="83"/>
      <c r="AA141" s="83"/>
      <c r="AB141" s="83"/>
      <c r="AC141" s="83">
        <v>1200</v>
      </c>
      <c r="AD141" s="83"/>
      <c r="AE141" s="83"/>
      <c r="AF141" s="83"/>
      <c r="AG141" s="83"/>
      <c r="AH141" s="1">
        <f t="shared" si="1"/>
        <v>1200</v>
      </c>
    </row>
    <row r="142" spans="1:35" s="1" customFormat="1" x14ac:dyDescent="0.3">
      <c r="B142" s="83" t="s">
        <v>187</v>
      </c>
      <c r="C142" s="83">
        <v>793.75</v>
      </c>
      <c r="D142" s="83">
        <v>853.75</v>
      </c>
      <c r="E142" s="83">
        <v>803.75</v>
      </c>
      <c r="F142" s="83">
        <v>803.75</v>
      </c>
      <c r="G142" s="83">
        <v>803.75</v>
      </c>
      <c r="H142" s="83">
        <v>803.75</v>
      </c>
      <c r="I142" s="83">
        <v>853.75</v>
      </c>
      <c r="J142" s="83">
        <v>803.75</v>
      </c>
      <c r="K142" s="83">
        <v>803.75</v>
      </c>
      <c r="L142" s="83">
        <v>803.75</v>
      </c>
      <c r="M142" s="83">
        <v>803.75</v>
      </c>
      <c r="N142" s="83">
        <v>803.75</v>
      </c>
      <c r="O142" s="83">
        <v>9335</v>
      </c>
      <c r="P142" s="83" t="s">
        <v>127</v>
      </c>
      <c r="Q142" s="83"/>
      <c r="R142" s="83" t="s">
        <v>127</v>
      </c>
      <c r="S142" s="83"/>
      <c r="T142" s="83" t="s">
        <v>127</v>
      </c>
      <c r="U142" s="83" t="s">
        <v>127</v>
      </c>
      <c r="V142" s="83" t="s">
        <v>127</v>
      </c>
      <c r="W142" s="83" t="s">
        <v>127</v>
      </c>
      <c r="X142" s="83" t="s">
        <v>127</v>
      </c>
      <c r="Y142" s="83"/>
      <c r="Z142" s="83"/>
      <c r="AA142" s="83">
        <v>844.36</v>
      </c>
      <c r="AB142" s="83"/>
      <c r="AC142" s="83">
        <v>410</v>
      </c>
      <c r="AD142" s="83">
        <v>287</v>
      </c>
      <c r="AE142" s="83">
        <v>4800</v>
      </c>
      <c r="AF142" s="83">
        <v>1688.72</v>
      </c>
      <c r="AG142" s="83">
        <v>1304.92</v>
      </c>
      <c r="AH142" s="1">
        <f t="shared" si="1"/>
        <v>9335</v>
      </c>
    </row>
    <row r="143" spans="1:35" s="81" customFormat="1" x14ac:dyDescent="0.3">
      <c r="B143" s="50" t="s">
        <v>188</v>
      </c>
      <c r="C143" s="50">
        <v>140</v>
      </c>
      <c r="D143" s="50">
        <v>145</v>
      </c>
      <c r="E143" s="50">
        <v>0</v>
      </c>
      <c r="F143" s="50">
        <v>0</v>
      </c>
      <c r="G143" s="50">
        <v>70</v>
      </c>
      <c r="H143" s="50">
        <v>0</v>
      </c>
      <c r="I143" s="50">
        <v>0</v>
      </c>
      <c r="J143" s="50">
        <v>0</v>
      </c>
      <c r="K143" s="50">
        <v>70</v>
      </c>
      <c r="L143" s="50">
        <v>0</v>
      </c>
      <c r="M143" s="50">
        <v>0</v>
      </c>
      <c r="N143" s="50">
        <v>315</v>
      </c>
      <c r="O143" s="50">
        <v>740</v>
      </c>
      <c r="P143" s="50"/>
      <c r="Q143" s="50"/>
      <c r="R143" s="50"/>
      <c r="S143" s="50"/>
      <c r="T143" s="50" t="s">
        <v>127</v>
      </c>
      <c r="U143" s="50"/>
      <c r="V143" s="50" t="s">
        <v>127</v>
      </c>
      <c r="W143" s="50"/>
      <c r="X143" s="50"/>
      <c r="Y143" s="50"/>
      <c r="Z143" s="50"/>
      <c r="AA143" s="50"/>
      <c r="AB143" s="50"/>
      <c r="AC143" s="50">
        <v>300</v>
      </c>
      <c r="AD143" s="50"/>
      <c r="AE143" s="50">
        <v>440</v>
      </c>
      <c r="AF143" s="50"/>
      <c r="AG143" s="50"/>
      <c r="AH143" s="81">
        <f t="shared" si="1"/>
        <v>740</v>
      </c>
    </row>
    <row r="144" spans="1:35" s="1" customFormat="1" x14ac:dyDescent="0.3">
      <c r="B144" s="83" t="s">
        <v>189</v>
      </c>
      <c r="C144" s="83">
        <v>2232.8399999999997</v>
      </c>
      <c r="D144" s="83">
        <v>2232.8399999999997</v>
      </c>
      <c r="E144" s="83">
        <v>2232.8399999999997</v>
      </c>
      <c r="F144" s="83">
        <v>2232.8399999999997</v>
      </c>
      <c r="G144" s="83">
        <v>2232.8399999999997</v>
      </c>
      <c r="H144" s="83">
        <v>2232.8399999999997</v>
      </c>
      <c r="I144" s="83">
        <v>2232.8399999999997</v>
      </c>
      <c r="J144" s="83">
        <v>2232.8399999999997</v>
      </c>
      <c r="K144" s="83">
        <v>2232.8399999999997</v>
      </c>
      <c r="L144" s="83">
        <v>2232.8399999999997</v>
      </c>
      <c r="M144" s="83">
        <v>2232.8399999999997</v>
      </c>
      <c r="N144" s="83">
        <v>2233.96</v>
      </c>
      <c r="O144" s="83">
        <v>23296</v>
      </c>
      <c r="P144" s="83"/>
      <c r="Q144" s="83"/>
      <c r="R144" s="83" t="s">
        <v>127</v>
      </c>
      <c r="S144" s="83"/>
      <c r="T144" s="83" t="s">
        <v>127</v>
      </c>
      <c r="U144" s="83" t="s">
        <v>127</v>
      </c>
      <c r="V144" s="83" t="s">
        <v>127</v>
      </c>
      <c r="W144" s="83" t="s">
        <v>127</v>
      </c>
      <c r="X144" s="83" t="s">
        <v>127</v>
      </c>
      <c r="Y144" s="83"/>
      <c r="Z144" s="83"/>
      <c r="AA144" s="83">
        <v>2079</v>
      </c>
      <c r="AB144" s="83"/>
      <c r="AC144" s="83">
        <v>907</v>
      </c>
      <c r="AD144" s="83">
        <v>1040</v>
      </c>
      <c r="AE144" s="83">
        <v>13574</v>
      </c>
      <c r="AF144" s="83">
        <v>3118</v>
      </c>
      <c r="AG144" s="83">
        <v>2578</v>
      </c>
      <c r="AH144" s="1">
        <f t="shared" si="1"/>
        <v>23296</v>
      </c>
    </row>
    <row r="145" spans="2:34" s="55" customFormat="1" x14ac:dyDescent="0.3">
      <c r="B145" s="54" t="s">
        <v>190</v>
      </c>
      <c r="C145" s="54">
        <v>960</v>
      </c>
      <c r="D145" s="54">
        <v>960</v>
      </c>
      <c r="E145" s="54">
        <v>960</v>
      </c>
      <c r="F145" s="54">
        <v>960</v>
      </c>
      <c r="G145" s="54">
        <v>960</v>
      </c>
      <c r="H145" s="54">
        <v>960</v>
      </c>
      <c r="I145" s="54">
        <v>960</v>
      </c>
      <c r="J145" s="54">
        <v>960</v>
      </c>
      <c r="K145" s="54">
        <v>960</v>
      </c>
      <c r="L145" s="54">
        <v>960</v>
      </c>
      <c r="M145" s="54">
        <v>960</v>
      </c>
      <c r="N145" s="54">
        <v>960</v>
      </c>
      <c r="O145" s="54">
        <v>11520</v>
      </c>
      <c r="P145" s="54"/>
      <c r="Q145" s="54"/>
      <c r="R145" s="54"/>
      <c r="S145" s="54"/>
      <c r="T145" s="54"/>
      <c r="U145" s="54"/>
      <c r="V145" s="54"/>
      <c r="W145" s="54" t="s">
        <v>127</v>
      </c>
      <c r="X145" s="54" t="s">
        <v>127</v>
      </c>
      <c r="Y145" s="54"/>
      <c r="Z145" s="54"/>
      <c r="AA145" s="54"/>
      <c r="AB145" s="54"/>
      <c r="AC145" s="54"/>
      <c r="AD145" s="54"/>
      <c r="AE145" s="54"/>
      <c r="AF145" s="54">
        <v>11520</v>
      </c>
      <c r="AG145" s="54"/>
      <c r="AH145" s="55">
        <f t="shared" si="1"/>
        <v>11520</v>
      </c>
    </row>
    <row r="146" spans="2:34" s="81" customFormat="1" x14ac:dyDescent="0.3">
      <c r="B146" s="50" t="s">
        <v>191</v>
      </c>
      <c r="C146" s="50">
        <v>1000</v>
      </c>
      <c r="D146" s="50">
        <v>0</v>
      </c>
      <c r="E146" s="50">
        <v>0</v>
      </c>
      <c r="F146" s="50">
        <v>0</v>
      </c>
      <c r="G146" s="50">
        <v>0</v>
      </c>
      <c r="H146" s="50">
        <v>0</v>
      </c>
      <c r="I146" s="50">
        <v>0</v>
      </c>
      <c r="J146" s="50">
        <v>0</v>
      </c>
      <c r="K146" s="50">
        <v>0</v>
      </c>
      <c r="L146" s="50">
        <v>0</v>
      </c>
      <c r="M146" s="50">
        <v>0</v>
      </c>
      <c r="N146" s="50">
        <v>0</v>
      </c>
      <c r="O146" s="50">
        <v>800</v>
      </c>
      <c r="P146" s="50"/>
      <c r="Q146" s="50"/>
      <c r="R146" s="50"/>
      <c r="S146" s="50"/>
      <c r="T146" s="50" t="s">
        <v>127</v>
      </c>
      <c r="U146" s="50"/>
      <c r="V146" s="50"/>
      <c r="W146" s="50"/>
      <c r="X146" s="50"/>
      <c r="Y146" s="50"/>
      <c r="Z146" s="50"/>
      <c r="AA146" s="50"/>
      <c r="AB146" s="50"/>
      <c r="AC146" s="50">
        <v>800</v>
      </c>
      <c r="AD146" s="50"/>
      <c r="AE146" s="50"/>
      <c r="AF146" s="50"/>
      <c r="AG146" s="50"/>
      <c r="AH146" s="81">
        <f t="shared" ref="AH146:AH154" si="2">SUM(Y146:AG146)</f>
        <v>800</v>
      </c>
    </row>
    <row r="147" spans="2:34" s="1" customFormat="1" x14ac:dyDescent="0.3">
      <c r="B147" s="83" t="s">
        <v>192</v>
      </c>
      <c r="C147" s="83">
        <v>1250</v>
      </c>
      <c r="D147" s="83">
        <v>1250</v>
      </c>
      <c r="E147" s="83">
        <v>1250</v>
      </c>
      <c r="F147" s="83">
        <v>1250</v>
      </c>
      <c r="G147" s="83">
        <v>1250</v>
      </c>
      <c r="H147" s="83">
        <v>1250</v>
      </c>
      <c r="I147" s="83">
        <v>1250</v>
      </c>
      <c r="J147" s="83">
        <v>1250</v>
      </c>
      <c r="K147" s="83">
        <v>1250</v>
      </c>
      <c r="L147" s="83">
        <v>1250</v>
      </c>
      <c r="M147" s="83">
        <v>1250</v>
      </c>
      <c r="N147" s="83">
        <v>1250</v>
      </c>
      <c r="O147" s="83">
        <v>15000</v>
      </c>
      <c r="P147" s="83"/>
      <c r="Q147" s="83"/>
      <c r="R147" s="83"/>
      <c r="S147" s="83"/>
      <c r="T147" s="83"/>
      <c r="U147" s="83"/>
      <c r="V147" s="83" t="s">
        <v>127</v>
      </c>
      <c r="W147" s="83"/>
      <c r="X147" s="83"/>
      <c r="Y147" s="83"/>
      <c r="Z147" s="83"/>
      <c r="AA147" s="83"/>
      <c r="AB147" s="83"/>
      <c r="AC147" s="83"/>
      <c r="AD147" s="83"/>
      <c r="AE147" s="83">
        <v>15000</v>
      </c>
      <c r="AF147" s="83"/>
      <c r="AG147" s="83"/>
      <c r="AH147" s="1">
        <f t="shared" si="2"/>
        <v>15000</v>
      </c>
    </row>
    <row r="148" spans="2:34" s="1" customFormat="1" x14ac:dyDescent="0.3">
      <c r="B148" s="83" t="s">
        <v>193</v>
      </c>
      <c r="C148" s="83">
        <v>687.5</v>
      </c>
      <c r="D148" s="83">
        <v>87.5</v>
      </c>
      <c r="E148" s="83">
        <v>337.5</v>
      </c>
      <c r="F148" s="83">
        <v>87.5</v>
      </c>
      <c r="G148" s="83">
        <v>87.5</v>
      </c>
      <c r="H148" s="83">
        <v>687.5</v>
      </c>
      <c r="I148" s="83">
        <v>87.5</v>
      </c>
      <c r="J148" s="83">
        <v>87.5</v>
      </c>
      <c r="K148" s="83">
        <v>87.5</v>
      </c>
      <c r="L148" s="83">
        <v>87.5</v>
      </c>
      <c r="M148" s="83">
        <v>87.5</v>
      </c>
      <c r="N148" s="83">
        <v>87.5</v>
      </c>
      <c r="O148" s="83">
        <v>2000</v>
      </c>
      <c r="P148" s="83"/>
      <c r="Q148" s="83"/>
      <c r="R148" s="83"/>
      <c r="S148" s="83"/>
      <c r="T148" s="83" t="s">
        <v>127</v>
      </c>
      <c r="U148" s="83"/>
      <c r="V148" s="83" t="s">
        <v>127</v>
      </c>
      <c r="W148" s="83" t="s">
        <v>127</v>
      </c>
      <c r="X148" s="83"/>
      <c r="Y148" s="83"/>
      <c r="Z148" s="83"/>
      <c r="AA148" s="83"/>
      <c r="AB148" s="83"/>
      <c r="AC148" s="83">
        <v>250</v>
      </c>
      <c r="AD148" s="83"/>
      <c r="AE148" s="83">
        <v>950</v>
      </c>
      <c r="AF148" s="83">
        <v>800</v>
      </c>
      <c r="AG148" s="83"/>
      <c r="AH148" s="1">
        <f t="shared" si="2"/>
        <v>2000</v>
      </c>
    </row>
    <row r="149" spans="2:34" s="1" customFormat="1" x14ac:dyDescent="0.3">
      <c r="B149" s="83" t="s">
        <v>194</v>
      </c>
      <c r="C149" s="83">
        <v>2100</v>
      </c>
      <c r="D149" s="83">
        <v>2100</v>
      </c>
      <c r="E149" s="83">
        <v>2100</v>
      </c>
      <c r="F149" s="83">
        <v>2100</v>
      </c>
      <c r="G149" s="83">
        <v>2100</v>
      </c>
      <c r="H149" s="83">
        <v>2100</v>
      </c>
      <c r="I149" s="83">
        <v>2100</v>
      </c>
      <c r="J149" s="83">
        <v>2100</v>
      </c>
      <c r="K149" s="83">
        <v>2100</v>
      </c>
      <c r="L149" s="83">
        <v>2100</v>
      </c>
      <c r="M149" s="83">
        <v>2100</v>
      </c>
      <c r="N149" s="83">
        <v>2100</v>
      </c>
      <c r="O149" s="83">
        <v>25200</v>
      </c>
      <c r="P149" s="83"/>
      <c r="Q149" s="83"/>
      <c r="R149" s="83" t="s">
        <v>127</v>
      </c>
      <c r="S149" s="83"/>
      <c r="T149" s="83"/>
      <c r="U149" s="83"/>
      <c r="V149" s="83" t="s">
        <v>127</v>
      </c>
      <c r="W149" s="83" t="s">
        <v>127</v>
      </c>
      <c r="X149" s="83" t="s">
        <v>127</v>
      </c>
      <c r="Y149" s="83"/>
      <c r="Z149" s="83"/>
      <c r="AA149" s="83">
        <v>968</v>
      </c>
      <c r="AB149" s="83"/>
      <c r="AC149" s="83"/>
      <c r="AD149" s="83"/>
      <c r="AE149" s="83">
        <v>20844</v>
      </c>
      <c r="AF149" s="83">
        <v>1936</v>
      </c>
      <c r="AG149" s="83">
        <v>1452</v>
      </c>
      <c r="AH149" s="1">
        <f t="shared" si="2"/>
        <v>25200</v>
      </c>
    </row>
    <row r="150" spans="2:34" s="74" customFormat="1" x14ac:dyDescent="0.3">
      <c r="B150" s="49" t="s">
        <v>195</v>
      </c>
      <c r="C150" s="49">
        <v>533.33000000000004</v>
      </c>
      <c r="D150" s="49">
        <v>533.33000000000004</v>
      </c>
      <c r="E150" s="49">
        <v>533.33000000000004</v>
      </c>
      <c r="F150" s="49">
        <v>533.33000000000004</v>
      </c>
      <c r="G150" s="49">
        <v>533.33000000000004</v>
      </c>
      <c r="H150" s="49">
        <v>533.33000000000004</v>
      </c>
      <c r="I150" s="49">
        <v>533.33000000000004</v>
      </c>
      <c r="J150" s="49">
        <v>533.33000000000004</v>
      </c>
      <c r="K150" s="49">
        <v>533.33000000000004</v>
      </c>
      <c r="L150" s="49">
        <v>533.33000000000004</v>
      </c>
      <c r="M150" s="49">
        <v>533.33000000000004</v>
      </c>
      <c r="N150" s="49">
        <v>533.33000000000004</v>
      </c>
      <c r="O150" s="49">
        <v>6400</v>
      </c>
      <c r="P150" s="49"/>
      <c r="Q150" s="49"/>
      <c r="R150" s="49"/>
      <c r="S150" s="49"/>
      <c r="T150" s="49" t="s">
        <v>127</v>
      </c>
      <c r="U150" s="49"/>
      <c r="V150" s="49"/>
      <c r="W150" s="49"/>
      <c r="X150" s="49"/>
      <c r="Y150" s="49"/>
      <c r="Z150" s="49"/>
      <c r="AA150" s="49"/>
      <c r="AB150" s="49"/>
      <c r="AC150" s="49">
        <v>6400</v>
      </c>
      <c r="AD150" s="49"/>
      <c r="AE150" s="49"/>
      <c r="AF150" s="49"/>
      <c r="AG150" s="49"/>
      <c r="AH150" s="74">
        <f t="shared" si="2"/>
        <v>6400</v>
      </c>
    </row>
    <row r="151" spans="2:34" s="81" customFormat="1" x14ac:dyDescent="0.3">
      <c r="B151" s="50" t="s">
        <v>35</v>
      </c>
      <c r="C151" s="50">
        <v>886.28</v>
      </c>
      <c r="D151" s="50">
        <v>886.28</v>
      </c>
      <c r="E151" s="50">
        <v>886.28</v>
      </c>
      <c r="F151" s="50">
        <v>886.28</v>
      </c>
      <c r="G151" s="50">
        <v>886.28</v>
      </c>
      <c r="H151" s="50">
        <v>886.28</v>
      </c>
      <c r="I151" s="50">
        <v>886.28</v>
      </c>
      <c r="J151" s="50">
        <v>886.28</v>
      </c>
      <c r="K151" s="50">
        <v>886.28</v>
      </c>
      <c r="L151" s="50">
        <v>886.28</v>
      </c>
      <c r="M151" s="50">
        <v>886.28</v>
      </c>
      <c r="N151" s="50">
        <v>886.28</v>
      </c>
      <c r="O151" s="50">
        <v>10636</v>
      </c>
      <c r="P151" s="50"/>
      <c r="Q151" s="50"/>
      <c r="R151" s="50"/>
      <c r="S151" s="50"/>
      <c r="T151" s="50"/>
      <c r="U151" s="50"/>
      <c r="V151" s="50" t="s">
        <v>127</v>
      </c>
      <c r="W151" s="50"/>
      <c r="X151" s="50"/>
      <c r="Y151" s="50"/>
      <c r="Z151" s="50"/>
      <c r="AA151" s="50"/>
      <c r="AB151" s="50"/>
      <c r="AC151" s="50"/>
      <c r="AD151" s="50"/>
      <c r="AE151" s="50">
        <v>10636</v>
      </c>
      <c r="AF151" s="50"/>
      <c r="AG151" s="50"/>
      <c r="AH151" s="81">
        <f t="shared" si="2"/>
        <v>10636</v>
      </c>
    </row>
    <row r="152" spans="2:34" s="81" customFormat="1" x14ac:dyDescent="0.3">
      <c r="B152" s="50" t="s">
        <v>196</v>
      </c>
      <c r="C152" s="50">
        <v>1100</v>
      </c>
      <c r="D152" s="50">
        <v>1100</v>
      </c>
      <c r="E152" s="50">
        <v>1100</v>
      </c>
      <c r="F152" s="50">
        <v>1100</v>
      </c>
      <c r="G152" s="50">
        <v>1100</v>
      </c>
      <c r="H152" s="50">
        <v>1100</v>
      </c>
      <c r="I152" s="50">
        <v>1100</v>
      </c>
      <c r="J152" s="50">
        <v>1100</v>
      </c>
      <c r="K152" s="50">
        <v>1100</v>
      </c>
      <c r="L152" s="50">
        <v>5350</v>
      </c>
      <c r="M152" s="50">
        <v>4030</v>
      </c>
      <c r="N152" s="50">
        <v>1100</v>
      </c>
      <c r="O152" s="50">
        <v>14380</v>
      </c>
      <c r="P152" s="50"/>
      <c r="Q152" s="50"/>
      <c r="R152" s="50"/>
      <c r="S152" s="50"/>
      <c r="T152" s="50"/>
      <c r="U152" s="50" t="s">
        <v>127</v>
      </c>
      <c r="V152" s="50" t="s">
        <v>127</v>
      </c>
      <c r="W152" s="50"/>
      <c r="X152" s="50"/>
      <c r="Y152" s="50"/>
      <c r="Z152" s="50"/>
      <c r="AA152" s="50"/>
      <c r="AB152" s="50"/>
      <c r="AC152" s="50">
        <v>10580</v>
      </c>
      <c r="AD152" s="50"/>
      <c r="AE152" s="50">
        <v>3800</v>
      </c>
      <c r="AF152" s="50"/>
      <c r="AG152" s="50"/>
      <c r="AH152" s="81">
        <f t="shared" si="2"/>
        <v>14380</v>
      </c>
    </row>
    <row r="153" spans="2:34" s="81" customFormat="1" x14ac:dyDescent="0.3">
      <c r="B153" s="50" t="s">
        <v>197</v>
      </c>
      <c r="C153" s="50">
        <v>50</v>
      </c>
      <c r="D153" s="50">
        <v>50</v>
      </c>
      <c r="E153" s="50">
        <v>70</v>
      </c>
      <c r="F153" s="50">
        <v>70</v>
      </c>
      <c r="G153" s="50">
        <v>50</v>
      </c>
      <c r="H153" s="50">
        <v>50</v>
      </c>
      <c r="I153" s="50">
        <v>70</v>
      </c>
      <c r="J153" s="50">
        <v>70</v>
      </c>
      <c r="K153" s="50">
        <v>50</v>
      </c>
      <c r="L153" s="50">
        <v>50</v>
      </c>
      <c r="M153" s="50">
        <v>70</v>
      </c>
      <c r="N153" s="50">
        <v>70</v>
      </c>
      <c r="O153" s="50">
        <v>720</v>
      </c>
      <c r="P153" s="50"/>
      <c r="Q153" s="50"/>
      <c r="R153" s="50"/>
      <c r="S153" s="50"/>
      <c r="T153" s="50" t="s">
        <v>127</v>
      </c>
      <c r="U153" s="50"/>
      <c r="V153" s="50"/>
      <c r="W153" s="50"/>
      <c r="X153" s="50"/>
      <c r="Y153" s="50"/>
      <c r="Z153" s="50"/>
      <c r="AA153" s="50"/>
      <c r="AB153" s="50"/>
      <c r="AC153" s="50">
        <v>720</v>
      </c>
      <c r="AD153" s="50"/>
      <c r="AE153" s="50"/>
      <c r="AF153" s="50"/>
      <c r="AG153" s="50"/>
      <c r="AH153" s="81">
        <f t="shared" si="2"/>
        <v>720</v>
      </c>
    </row>
    <row r="154" spans="2:34" s="63" customFormat="1" x14ac:dyDescent="0.3">
      <c r="B154" s="40" t="s">
        <v>198</v>
      </c>
      <c r="C154" s="40">
        <v>4565.2</v>
      </c>
      <c r="D154" s="40">
        <v>4565.2</v>
      </c>
      <c r="E154" s="40">
        <v>4565.2</v>
      </c>
      <c r="F154" s="40">
        <v>4565.2</v>
      </c>
      <c r="G154" s="40">
        <v>4565.2</v>
      </c>
      <c r="H154" s="40">
        <v>4565.2</v>
      </c>
      <c r="I154" s="40">
        <v>0</v>
      </c>
      <c r="J154" s="40">
        <v>0</v>
      </c>
      <c r="K154" s="40">
        <v>0</v>
      </c>
      <c r="L154" s="40">
        <v>4793.46</v>
      </c>
      <c r="M154" s="40">
        <v>4793.46</v>
      </c>
      <c r="N154" s="40">
        <v>4793.46</v>
      </c>
      <c r="O154" s="40">
        <v>41772</v>
      </c>
      <c r="P154" s="40"/>
      <c r="Q154" s="40"/>
      <c r="R154" s="40"/>
      <c r="S154" s="40"/>
      <c r="T154" s="40"/>
      <c r="U154" s="40"/>
      <c r="V154" s="40"/>
      <c r="W154" s="40"/>
      <c r="X154" s="40"/>
      <c r="Y154" s="40"/>
      <c r="Z154" s="40"/>
      <c r="AA154" s="40">
        <v>2924.0400000000004</v>
      </c>
      <c r="AB154" s="40"/>
      <c r="AC154" s="40">
        <v>4177.2</v>
      </c>
      <c r="AD154" s="40">
        <v>1253.1599999999999</v>
      </c>
      <c r="AE154" s="40">
        <v>22974.600000000002</v>
      </c>
      <c r="AF154" s="40">
        <v>5848.0800000000008</v>
      </c>
      <c r="AG154" s="40">
        <v>4594.92</v>
      </c>
      <c r="AH154" s="63">
        <f t="shared" si="2"/>
        <v>41772</v>
      </c>
    </row>
    <row r="155" spans="2:34" x14ac:dyDescent="0.3">
      <c r="AH155" s="36">
        <v>0</v>
      </c>
    </row>
    <row r="156" spans="2:34" x14ac:dyDescent="0.3">
      <c r="B156" s="36" t="s">
        <v>22</v>
      </c>
      <c r="C156" s="36">
        <v>259284.24016666663</v>
      </c>
      <c r="D156" s="36">
        <v>410962.63766666676</v>
      </c>
      <c r="E156" s="36">
        <v>431171.17766666674</v>
      </c>
      <c r="F156" s="36">
        <v>414678.8801666667</v>
      </c>
      <c r="G156" s="36">
        <v>206491.40016666666</v>
      </c>
      <c r="H156" s="36">
        <v>451130.72016666672</v>
      </c>
      <c r="I156" s="36">
        <v>207795.78766666664</v>
      </c>
      <c r="J156" s="36">
        <v>205776.84516666664</v>
      </c>
      <c r="K156" s="36">
        <v>243213.22916666666</v>
      </c>
      <c r="L156" s="36">
        <v>619231.24979166675</v>
      </c>
      <c r="M156" s="36">
        <v>207306.65516666666</v>
      </c>
      <c r="N156" s="36">
        <v>631692.07516666665</v>
      </c>
      <c r="O156" s="36">
        <v>4220271</v>
      </c>
      <c r="AH156" s="36">
        <v>0</v>
      </c>
    </row>
    <row r="159" spans="2:34" x14ac:dyDescent="0.3">
      <c r="B159" s="36" t="s">
        <v>199</v>
      </c>
      <c r="C159" s="36">
        <v>-19455.240166666626</v>
      </c>
      <c r="D159" s="36">
        <v>26630.362333333236</v>
      </c>
      <c r="E159" s="36">
        <v>-43544.177666666743</v>
      </c>
      <c r="F159" s="36">
        <v>-52226.880166666699</v>
      </c>
      <c r="G159" s="36">
        <v>64586.599833333341</v>
      </c>
      <c r="H159" s="36">
        <v>59071.279833333276</v>
      </c>
      <c r="I159" s="36">
        <v>38401.212333333358</v>
      </c>
      <c r="J159" s="36">
        <v>26825.154833333363</v>
      </c>
      <c r="K159" s="36">
        <v>-17389.229166666657</v>
      </c>
      <c r="L159" s="36">
        <v>-94504.249791666749</v>
      </c>
      <c r="M159" s="36">
        <v>16816.344833333336</v>
      </c>
      <c r="N159" s="36">
        <v>229311.92483333335</v>
      </c>
      <c r="O159" s="36">
        <v>297982</v>
      </c>
      <c r="Y159" s="36">
        <v>21875</v>
      </c>
      <c r="Z159" s="36">
        <v>613080</v>
      </c>
      <c r="AA159" s="36">
        <v>148373.28</v>
      </c>
      <c r="AB159" s="36">
        <v>15400</v>
      </c>
      <c r="AC159" s="36">
        <v>1330134.8099999998</v>
      </c>
      <c r="AD159" s="36">
        <v>10305.93</v>
      </c>
      <c r="AE159" s="36">
        <v>1267565.71</v>
      </c>
      <c r="AF159" s="36">
        <v>468861.46</v>
      </c>
      <c r="AG159" s="36">
        <v>344674.80999999994</v>
      </c>
      <c r="AH159" s="36">
        <v>4220271</v>
      </c>
    </row>
    <row r="162" spans="25:34" x14ac:dyDescent="0.3">
      <c r="Y162" s="36">
        <v>-18725</v>
      </c>
      <c r="Z162" s="36">
        <v>833617</v>
      </c>
      <c r="AA162" s="36">
        <v>-148373.28</v>
      </c>
      <c r="AB162" s="36">
        <v>-15400</v>
      </c>
      <c r="AC162" s="36">
        <v>-998438.80999999982</v>
      </c>
      <c r="AD162" s="36">
        <v>-10305.93</v>
      </c>
      <c r="AE162" s="36">
        <v>594144.29</v>
      </c>
      <c r="AF162" s="36">
        <v>406138.54</v>
      </c>
      <c r="AG162" s="36">
        <v>-344674.80999999994</v>
      </c>
      <c r="AH162" s="36">
        <v>297982</v>
      </c>
    </row>
  </sheetData>
  <pageMargins left="0.2" right="0.2"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1A6D8-E4EF-4764-A38D-E57EE1FE214C}">
  <dimension ref="A1:F50"/>
  <sheetViews>
    <sheetView topLeftCell="A23" zoomScaleNormal="100" workbookViewId="0">
      <selection activeCell="A49" sqref="A49"/>
    </sheetView>
  </sheetViews>
  <sheetFormatPr defaultColWidth="9.33203125" defaultRowHeight="14.4" x14ac:dyDescent="0.3"/>
  <cols>
    <col min="1" max="1" width="91" style="545" customWidth="1"/>
    <col min="2" max="4" width="9.33203125" style="509"/>
    <col min="5" max="5" width="109.6640625" style="509" customWidth="1"/>
    <col min="6" max="16384" width="9.33203125" style="509"/>
  </cols>
  <sheetData>
    <row r="1" spans="1:6" ht="24" customHeight="1" x14ac:dyDescent="0.3">
      <c r="A1" s="553" t="s">
        <v>563</v>
      </c>
    </row>
    <row r="2" spans="1:6" x14ac:dyDescent="0.3">
      <c r="A2" s="543"/>
    </row>
    <row r="3" spans="1:6" x14ac:dyDescent="0.3">
      <c r="A3" s="544" t="s">
        <v>553</v>
      </c>
    </row>
    <row r="4" spans="1:6" ht="28.8" x14ac:dyDescent="0.3">
      <c r="A4" s="545" t="s">
        <v>554</v>
      </c>
      <c r="F4" s="546"/>
    </row>
    <row r="5" spans="1:6" x14ac:dyDescent="0.3">
      <c r="F5" s="546"/>
    </row>
    <row r="6" spans="1:6" ht="28.8" x14ac:dyDescent="0.3">
      <c r="A6" s="545" t="s">
        <v>565</v>
      </c>
      <c r="F6" s="546"/>
    </row>
    <row r="7" spans="1:6" x14ac:dyDescent="0.3">
      <c r="F7" s="546"/>
    </row>
    <row r="8" spans="1:6" ht="28.8" x14ac:dyDescent="0.3">
      <c r="A8" s="545" t="s">
        <v>566</v>
      </c>
      <c r="F8" s="546"/>
    </row>
    <row r="9" spans="1:6" x14ac:dyDescent="0.3">
      <c r="F9" s="546"/>
    </row>
    <row r="10" spans="1:6" x14ac:dyDescent="0.3">
      <c r="A10" s="545" t="s">
        <v>602</v>
      </c>
      <c r="E10" s="547"/>
      <c r="F10" s="546"/>
    </row>
    <row r="11" spans="1:6" x14ac:dyDescent="0.3">
      <c r="F11" s="546"/>
    </row>
    <row r="12" spans="1:6" ht="28.8" x14ac:dyDescent="0.3">
      <c r="A12" s="545" t="s">
        <v>601</v>
      </c>
    </row>
    <row r="14" spans="1:6" x14ac:dyDescent="0.3">
      <c r="A14" s="545" t="s">
        <v>555</v>
      </c>
    </row>
    <row r="16" spans="1:6" ht="28.8" x14ac:dyDescent="0.3">
      <c r="A16" s="545" t="s">
        <v>567</v>
      </c>
    </row>
    <row r="18" spans="1:5" x14ac:dyDescent="0.3">
      <c r="A18" s="548" t="s">
        <v>556</v>
      </c>
    </row>
    <row r="19" spans="1:5" x14ac:dyDescent="0.3">
      <c r="A19" s="545" t="s">
        <v>557</v>
      </c>
      <c r="E19" s="545"/>
    </row>
    <row r="20" spans="1:5" x14ac:dyDescent="0.3">
      <c r="E20" s="545"/>
    </row>
    <row r="21" spans="1:5" ht="28.8" x14ac:dyDescent="0.3">
      <c r="A21" s="545" t="s">
        <v>568</v>
      </c>
      <c r="E21" s="545"/>
    </row>
    <row r="22" spans="1:5" x14ac:dyDescent="0.3">
      <c r="E22" s="545"/>
    </row>
    <row r="23" spans="1:5" ht="28.8" x14ac:dyDescent="0.3">
      <c r="A23" s="545" t="s">
        <v>569</v>
      </c>
      <c r="E23" s="545"/>
    </row>
    <row r="24" spans="1:5" x14ac:dyDescent="0.3">
      <c r="E24" s="545"/>
    </row>
    <row r="25" spans="1:5" ht="43.2" x14ac:dyDescent="0.3">
      <c r="A25" s="545" t="s">
        <v>603</v>
      </c>
      <c r="E25" s="545"/>
    </row>
    <row r="26" spans="1:5" x14ac:dyDescent="0.3">
      <c r="E26" s="545"/>
    </row>
    <row r="27" spans="1:5" ht="100.8" x14ac:dyDescent="0.3">
      <c r="A27" s="545" t="s">
        <v>570</v>
      </c>
      <c r="E27" s="545"/>
    </row>
    <row r="28" spans="1:5" x14ac:dyDescent="0.3">
      <c r="E28" s="545"/>
    </row>
    <row r="29" spans="1:5" ht="28.8" x14ac:dyDescent="0.3">
      <c r="A29" s="545" t="s">
        <v>571</v>
      </c>
      <c r="E29" s="545"/>
    </row>
    <row r="30" spans="1:5" x14ac:dyDescent="0.3">
      <c r="E30" s="545"/>
    </row>
    <row r="31" spans="1:5" ht="28.8" hidden="1" x14ac:dyDescent="0.3">
      <c r="A31" s="549" t="s">
        <v>558</v>
      </c>
      <c r="E31" s="545"/>
    </row>
    <row r="32" spans="1:5" s="551" customFormat="1" x14ac:dyDescent="0.3">
      <c r="A32" s="550"/>
      <c r="E32" s="545"/>
    </row>
    <row r="33" spans="1:5" s="551" customFormat="1" x14ac:dyDescent="0.3">
      <c r="A33" s="552" t="s">
        <v>559</v>
      </c>
      <c r="E33" s="545"/>
    </row>
    <row r="34" spans="1:5" s="551" customFormat="1" x14ac:dyDescent="0.3">
      <c r="A34" s="550"/>
      <c r="E34" s="545"/>
    </row>
    <row r="35" spans="1:5" s="551" customFormat="1" ht="28.8" x14ac:dyDescent="0.3">
      <c r="A35" s="550" t="s">
        <v>572</v>
      </c>
      <c r="E35" s="545"/>
    </row>
    <row r="36" spans="1:5" x14ac:dyDescent="0.3">
      <c r="E36" s="545"/>
    </row>
    <row r="37" spans="1:5" x14ac:dyDescent="0.3">
      <c r="E37" s="545"/>
    </row>
    <row r="38" spans="1:5" x14ac:dyDescent="0.3">
      <c r="A38" s="548" t="s">
        <v>560</v>
      </c>
    </row>
    <row r="39" spans="1:5" x14ac:dyDescent="0.3">
      <c r="A39" s="545" t="s">
        <v>604</v>
      </c>
    </row>
    <row r="41" spans="1:5" x14ac:dyDescent="0.3">
      <c r="A41" s="545" t="s">
        <v>561</v>
      </c>
    </row>
    <row r="43" spans="1:5" ht="32.25" customHeight="1" x14ac:dyDescent="0.3">
      <c r="A43" s="545" t="s">
        <v>605</v>
      </c>
    </row>
    <row r="45" spans="1:5" x14ac:dyDescent="0.3">
      <c r="A45" s="548" t="s">
        <v>562</v>
      </c>
    </row>
    <row r="46" spans="1:5" ht="49.5" customHeight="1" x14ac:dyDescent="0.3">
      <c r="A46" s="545" t="s">
        <v>573</v>
      </c>
    </row>
    <row r="48" spans="1:5" x14ac:dyDescent="0.3">
      <c r="A48" s="545" t="s">
        <v>606</v>
      </c>
    </row>
    <row r="50" spans="1:1" ht="28.8" x14ac:dyDescent="0.3">
      <c r="A50" s="545" t="s">
        <v>574</v>
      </c>
    </row>
  </sheetData>
  <pageMargins left="0.7" right="0.7" top="0.75" bottom="0.75" header="0.3" footer="0.3"/>
  <pageSetup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40317-63EB-4430-A971-1C9274A512E2}">
  <dimension ref="A1:K46"/>
  <sheetViews>
    <sheetView tabSelected="1" zoomScale="99" zoomScaleNormal="99" zoomScaleSheetLayoutView="81" workbookViewId="0">
      <pane ySplit="5" topLeftCell="A6" activePane="bottomLeft" state="frozen"/>
      <selection pane="bottomLeft" activeCell="A3" sqref="A3:K3"/>
    </sheetView>
  </sheetViews>
  <sheetFormatPr defaultColWidth="8.6640625" defaultRowHeight="12" x14ac:dyDescent="0.25"/>
  <cols>
    <col min="1" max="1" width="19" style="479" customWidth="1"/>
    <col min="2" max="2" width="11.6640625" style="481" bestFit="1" customWidth="1"/>
    <col min="3" max="3" width="12.5546875" style="481" bestFit="1" customWidth="1"/>
    <col min="4" max="4" width="11.6640625" style="482" bestFit="1" customWidth="1"/>
    <col min="5" max="5" width="13" style="481" customWidth="1"/>
    <col min="6" max="6" width="11.44140625" style="481" customWidth="1"/>
    <col min="7" max="7" width="11.6640625" style="481" bestFit="1" customWidth="1"/>
    <col min="8" max="8" width="12.44140625" style="481" bestFit="1" customWidth="1"/>
    <col min="9" max="9" width="11.6640625" style="481" customWidth="1"/>
    <col min="10" max="10" width="12.44140625" style="481" bestFit="1" customWidth="1"/>
    <col min="11" max="11" width="28.33203125" style="499" bestFit="1" customWidth="1"/>
    <col min="12" max="12" width="8.6640625" style="480" customWidth="1"/>
    <col min="13" max="16384" width="8.6640625" style="480"/>
  </cols>
  <sheetData>
    <row r="1" spans="1:11" s="478" customFormat="1" ht="16.95" customHeight="1" x14ac:dyDescent="0.3">
      <c r="A1" s="564" t="s">
        <v>0</v>
      </c>
      <c r="B1" s="564"/>
      <c r="C1" s="564"/>
      <c r="D1" s="564"/>
      <c r="E1" s="564"/>
      <c r="F1" s="564"/>
      <c r="G1" s="564"/>
      <c r="H1" s="564"/>
      <c r="I1" s="564"/>
      <c r="J1" s="564"/>
      <c r="K1" s="564"/>
    </row>
    <row r="2" spans="1:11" s="478" customFormat="1" ht="16.2" customHeight="1" x14ac:dyDescent="0.3">
      <c r="A2" s="564" t="s">
        <v>615</v>
      </c>
      <c r="B2" s="564"/>
      <c r="C2" s="564"/>
      <c r="D2" s="564"/>
      <c r="E2" s="564"/>
      <c r="F2" s="564"/>
      <c r="G2" s="564"/>
      <c r="H2" s="564"/>
      <c r="I2" s="564"/>
      <c r="J2" s="564"/>
      <c r="K2" s="564"/>
    </row>
    <row r="3" spans="1:11" s="478" customFormat="1" ht="16.95" customHeight="1" x14ac:dyDescent="0.3">
      <c r="A3" s="564" t="s">
        <v>575</v>
      </c>
      <c r="B3" s="564"/>
      <c r="C3" s="564"/>
      <c r="D3" s="564"/>
      <c r="E3" s="564"/>
      <c r="F3" s="564"/>
      <c r="G3" s="564"/>
      <c r="H3" s="564"/>
      <c r="I3" s="564"/>
      <c r="J3" s="564"/>
      <c r="K3" s="564"/>
    </row>
    <row r="4" spans="1:11" ht="12.6" thickBot="1" x14ac:dyDescent="0.3">
      <c r="K4" s="497"/>
    </row>
    <row r="5" spans="1:11" ht="24.6" thickBot="1" x14ac:dyDescent="0.3">
      <c r="B5" s="555" t="s">
        <v>2</v>
      </c>
      <c r="C5" s="556" t="s">
        <v>3</v>
      </c>
      <c r="D5" s="557" t="s">
        <v>4</v>
      </c>
      <c r="E5" s="556" t="s">
        <v>539</v>
      </c>
      <c r="F5" s="556" t="s">
        <v>538</v>
      </c>
      <c r="G5" s="556" t="s">
        <v>6</v>
      </c>
      <c r="H5" s="558" t="s">
        <v>485</v>
      </c>
      <c r="I5" s="559" t="s">
        <v>535</v>
      </c>
      <c r="J5" s="559" t="s">
        <v>576</v>
      </c>
      <c r="K5" s="554" t="s">
        <v>545</v>
      </c>
    </row>
    <row r="6" spans="1:11" x14ac:dyDescent="0.25">
      <c r="A6" s="495" t="s">
        <v>1</v>
      </c>
      <c r="B6" s="483"/>
      <c r="C6" s="483"/>
      <c r="D6" s="484"/>
      <c r="E6" s="483"/>
      <c r="F6" s="483"/>
      <c r="G6" s="483"/>
      <c r="H6" s="483"/>
      <c r="I6" s="483"/>
      <c r="J6" s="483"/>
    </row>
    <row r="7" spans="1:11" ht="45" customHeight="1" x14ac:dyDescent="0.25">
      <c r="A7" s="479" t="s">
        <v>8</v>
      </c>
      <c r="B7" s="485"/>
      <c r="C7" s="485">
        <f>'P&amp;L Budget'!P5+'P&amp;L Budget'!P6+'P&amp;L Budget'!P7+'P&amp;L Budget'!P8</f>
        <v>466349.5</v>
      </c>
      <c r="D7" s="486"/>
      <c r="E7" s="485"/>
      <c r="F7" s="485"/>
      <c r="G7" s="485"/>
      <c r="H7" s="485">
        <f t="shared" ref="H7:H12" si="0">SUM(B7:G7)</f>
        <v>466349.5</v>
      </c>
      <c r="I7" s="485">
        <v>542000</v>
      </c>
      <c r="J7" s="485">
        <f>'[1]6-Hm Budget Total-FY21 (P&amp;L)'!$V$5+'[1]6-Hm Budget Total-FY21 (P&amp;L)'!$V$6+'[1]6-Hm Budget Total-FY21 (P&amp;L)'!$V$7+'[1]6-Hm Budget Total-FY21 (P&amp;L)'!$V$8</f>
        <v>402023.45999999996</v>
      </c>
      <c r="K7" s="500" t="s">
        <v>577</v>
      </c>
    </row>
    <row r="8" spans="1:11" ht="58.8" customHeight="1" x14ac:dyDescent="0.25">
      <c r="A8" s="479" t="s">
        <v>9</v>
      </c>
      <c r="B8" s="485"/>
      <c r="C8" s="485">
        <f>'P&amp;L Budget'!P9+'P&amp;L Budget'!P10+'P&amp;L Budget'!P11+'P&amp;L Budget'!P12+'P&amp;L Budget'!P13</f>
        <v>545813</v>
      </c>
      <c r="D8" s="486"/>
      <c r="E8" s="485"/>
      <c r="F8" s="485"/>
      <c r="G8" s="485"/>
      <c r="H8" s="485">
        <f t="shared" si="0"/>
        <v>545813</v>
      </c>
      <c r="I8" s="485">
        <v>500500</v>
      </c>
      <c r="J8" s="485">
        <f>'[1]6-Hm Budget Total-FY21 (P&amp;L)'!$V$9+'[1]6-Hm Budget Total-FY21 (P&amp;L)'!$V$10+'[1]6-Hm Budget Total-FY21 (P&amp;L)'!$V$11+'[1]6-Hm Budget Total-FY21 (P&amp;L)'!$V$12+'[1]6-Hm Budget Total-FY21 (P&amp;L)'!$V$13</f>
        <v>503385.94</v>
      </c>
      <c r="K8" s="506" t="s">
        <v>578</v>
      </c>
    </row>
    <row r="9" spans="1:11" ht="56.4" customHeight="1" x14ac:dyDescent="0.25">
      <c r="A9" s="479" t="s">
        <v>5</v>
      </c>
      <c r="B9" s="485"/>
      <c r="C9" s="485"/>
      <c r="D9" s="486"/>
      <c r="E9" s="485">
        <f>SUM('P&amp;L Budget'!P21:P26)-F9</f>
        <v>1890951.3900000001</v>
      </c>
      <c r="F9" s="485">
        <v>207619.61</v>
      </c>
      <c r="G9" s="485"/>
      <c r="H9" s="485">
        <f t="shared" si="0"/>
        <v>2098571</v>
      </c>
      <c r="I9" s="485">
        <v>1956240</v>
      </c>
      <c r="J9" s="485">
        <f>' Cash FY21-BOD Approved 06.2020'!E9</f>
        <v>1845635.13</v>
      </c>
      <c r="K9" s="506" t="s">
        <v>579</v>
      </c>
    </row>
    <row r="10" spans="1:11" ht="51" customHeight="1" x14ac:dyDescent="0.25">
      <c r="A10" s="479" t="s">
        <v>10</v>
      </c>
      <c r="B10" s="485"/>
      <c r="C10" s="485"/>
      <c r="D10" s="486"/>
      <c r="E10" s="485"/>
      <c r="F10" s="485"/>
      <c r="G10" s="485">
        <f>SUM('P&amp;L Budget'!P15:P18)-1500000</f>
        <v>170545</v>
      </c>
      <c r="H10" s="485">
        <f t="shared" si="0"/>
        <v>170545</v>
      </c>
      <c r="I10" s="485">
        <v>184849</v>
      </c>
      <c r="J10" s="485">
        <f>'[1]6-Hm Budget Total-FY21 (P&amp;L)'!$V$14+'[1]6-Hm Budget Total-FY21 (P&amp;L)'!$V$15+'[1]6-Hm Budget Total-FY21 (P&amp;L)'!$V$16+'[1]6-Hm Budget Total-FY21 (P&amp;L)'!$V$17+'[1]6-Hm Budget Total-FY21 (P&amp;L)'!$V$18</f>
        <v>243531.12</v>
      </c>
      <c r="K10" s="500" t="s">
        <v>613</v>
      </c>
    </row>
    <row r="11" spans="1:11" ht="61.8" customHeight="1" x14ac:dyDescent="0.25">
      <c r="A11" s="479" t="s">
        <v>11</v>
      </c>
      <c r="B11" s="485"/>
      <c r="C11" s="485"/>
      <c r="D11" s="486">
        <f>'P&amp;L Budget'!P19+'P&amp;L Budget'!P27+'P&amp;L Budget'!P35</f>
        <v>1760500</v>
      </c>
      <c r="E11" s="485"/>
      <c r="F11" s="485"/>
      <c r="G11" s="485"/>
      <c r="H11" s="485">
        <f t="shared" si="0"/>
        <v>1760500</v>
      </c>
      <c r="I11" s="485">
        <v>1213500</v>
      </c>
      <c r="J11" s="485">
        <f>'[1]6-Hm Budget Total-FY21 (P&amp;L)'!$V$35+'[1]6-Hm Budget Total-FY21 (P&amp;L)'!$V$19+'[1]6-Hm Budget Total-FY21 (P&amp;L)'!$V$27</f>
        <v>1575923.12</v>
      </c>
      <c r="K11" s="506" t="s">
        <v>580</v>
      </c>
    </row>
    <row r="12" spans="1:11" ht="66" customHeight="1" x14ac:dyDescent="0.25">
      <c r="A12" s="479" t="s">
        <v>12</v>
      </c>
      <c r="B12" s="485"/>
      <c r="C12" s="485">
        <f>'P&amp;L Budget'!P33+'P&amp;L Budget'!P34+'P&amp;L Budget'!P29</f>
        <v>24929</v>
      </c>
      <c r="D12" s="486">
        <f>'P&amp;L Budget'!P31+'P&amp;L Budget'!P32+'P&amp;L Budget'!P37</f>
        <v>76935</v>
      </c>
      <c r="E12" s="485"/>
      <c r="F12" s="485"/>
      <c r="G12" s="485"/>
      <c r="H12" s="485">
        <f t="shared" si="0"/>
        <v>101864</v>
      </c>
      <c r="I12" s="485">
        <v>102390</v>
      </c>
      <c r="J12" s="485">
        <f>'[1]6-Hm Budget Total-FY21 (P&amp;L)'!$V$31+'[1]6-Hm Budget Total-FY21 (P&amp;L)'!$V$32+'[1]6-Hm Budget Total-FY21 (P&amp;L)'!$V$33+'[1]6-Hm Budget Total-FY21 (P&amp;L)'!$V$34+'[1]6-Hm Budget Total-FY21 (P&amp;L)'!$V$37+'[1]6-Hm Budget Total-FY21 (P&amp;L)'!$V$29</f>
        <v>198483.67</v>
      </c>
      <c r="K12" s="506" t="s">
        <v>581</v>
      </c>
    </row>
    <row r="13" spans="1:11" ht="14.25" customHeight="1" x14ac:dyDescent="0.25">
      <c r="B13" s="487"/>
      <c r="C13" s="487"/>
      <c r="D13" s="494"/>
      <c r="E13" s="487"/>
      <c r="F13" s="487"/>
      <c r="G13" s="487"/>
      <c r="H13" s="487"/>
      <c r="I13" s="487"/>
      <c r="J13" s="487"/>
    </row>
    <row r="14" spans="1:11" x14ac:dyDescent="0.25">
      <c r="A14" s="488" t="s">
        <v>13</v>
      </c>
      <c r="B14" s="489">
        <f>SUM(B7:B12)</f>
        <v>0</v>
      </c>
      <c r="C14" s="489">
        <f t="shared" ref="C14:H14" si="1">SUM(C7:C12)</f>
        <v>1037091.5</v>
      </c>
      <c r="D14" s="489">
        <f t="shared" si="1"/>
        <v>1837435</v>
      </c>
      <c r="E14" s="489">
        <f t="shared" si="1"/>
        <v>1890951.3900000001</v>
      </c>
      <c r="F14" s="489">
        <f t="shared" si="1"/>
        <v>207619.61</v>
      </c>
      <c r="G14" s="489">
        <f t="shared" si="1"/>
        <v>170545</v>
      </c>
      <c r="H14" s="489">
        <f t="shared" si="1"/>
        <v>5143642.5</v>
      </c>
      <c r="I14" s="489">
        <v>4499479</v>
      </c>
      <c r="J14" s="489">
        <f>SUM(J7:J12)</f>
        <v>4768982.4399999995</v>
      </c>
      <c r="K14" s="496"/>
    </row>
    <row r="15" spans="1:11" x14ac:dyDescent="0.25">
      <c r="B15" s="483"/>
      <c r="C15" s="483"/>
      <c r="D15" s="484"/>
      <c r="E15" s="483"/>
      <c r="F15" s="483"/>
      <c r="G15" s="483"/>
      <c r="H15" s="483"/>
      <c r="I15" s="483"/>
      <c r="J15" s="483"/>
      <c r="K15" s="501"/>
    </row>
    <row r="16" spans="1:11" x14ac:dyDescent="0.25">
      <c r="A16" s="495" t="s">
        <v>14</v>
      </c>
      <c r="B16" s="483"/>
      <c r="C16" s="483"/>
      <c r="D16" s="484"/>
      <c r="E16" s="483"/>
      <c r="F16" s="483"/>
      <c r="G16" s="483"/>
      <c r="H16" s="483"/>
      <c r="I16" s="483"/>
      <c r="J16" s="483"/>
    </row>
    <row r="17" spans="1:11" ht="78" customHeight="1" x14ac:dyDescent="0.25">
      <c r="A17" s="479" t="s">
        <v>15</v>
      </c>
      <c r="B17" s="485"/>
      <c r="C17" s="485"/>
      <c r="D17" s="486"/>
      <c r="E17" s="485"/>
      <c r="F17" s="485"/>
      <c r="G17" s="485">
        <f>'P&amp;L Budget'!P55</f>
        <v>1340569</v>
      </c>
      <c r="H17" s="485">
        <f>SUM(B17:G17)</f>
        <v>1340569</v>
      </c>
      <c r="I17" s="485">
        <v>1120000</v>
      </c>
      <c r="J17" s="485">
        <f>969600+175000+175000</f>
        <v>1319600</v>
      </c>
      <c r="K17" s="500" t="s">
        <v>582</v>
      </c>
    </row>
    <row r="18" spans="1:11" ht="37.5" customHeight="1" x14ac:dyDescent="0.25">
      <c r="A18" s="479" t="s">
        <v>4</v>
      </c>
      <c r="B18" s="485"/>
      <c r="C18" s="485"/>
      <c r="D18" s="486">
        <f>'P&amp;L Budget'!P83</f>
        <v>588000</v>
      </c>
      <c r="E18" s="485"/>
      <c r="F18" s="485"/>
      <c r="G18" s="485"/>
      <c r="H18" s="485">
        <f t="shared" ref="H18:H30" si="2">SUM(B18:G18)</f>
        <v>588000</v>
      </c>
      <c r="I18" s="485">
        <v>440000</v>
      </c>
      <c r="J18" s="485">
        <f>337500+70000+70000</f>
        <v>477500</v>
      </c>
      <c r="K18" s="500" t="s">
        <v>583</v>
      </c>
    </row>
    <row r="19" spans="1:11" ht="80.400000000000006" customHeight="1" x14ac:dyDescent="0.25">
      <c r="A19" s="479" t="s">
        <v>543</v>
      </c>
      <c r="B19" s="485">
        <f>139384+1.34+470.59+0.38</f>
        <v>139856.31</v>
      </c>
      <c r="C19" s="485">
        <f>345990.28+9544+588.24</f>
        <v>356122.52</v>
      </c>
      <c r="D19" s="486"/>
      <c r="E19" s="485">
        <f>87684.41+2615.83+711247.34+65500.42-F19</f>
        <v>805110.01</v>
      </c>
      <c r="F19" s="485">
        <f>47880+9467.67+4590.32</f>
        <v>61937.99</v>
      </c>
      <c r="G19" s="485">
        <f>43831.23+10187.8+383184.17+33454.79+8000+941.18</f>
        <v>479599.16999999993</v>
      </c>
      <c r="H19" s="485">
        <f>SUM(B19:G19)</f>
        <v>1842626</v>
      </c>
      <c r="I19" s="485">
        <v>1914520.2891699998</v>
      </c>
      <c r="J19" s="485">
        <v>1478409</v>
      </c>
      <c r="K19" s="506" t="s">
        <v>584</v>
      </c>
    </row>
    <row r="20" spans="1:11" ht="72" customHeight="1" x14ac:dyDescent="0.25">
      <c r="A20" s="479" t="s">
        <v>564</v>
      </c>
      <c r="B20" s="485">
        <f>1525.08+600+1</f>
        <v>2126.08</v>
      </c>
      <c r="C20" s="485">
        <f>4960+11641.35+3350+1770</f>
        <v>21721.35</v>
      </c>
      <c r="D20" s="486"/>
      <c r="E20" s="485">
        <f>12500+700+200-F20</f>
        <v>13200</v>
      </c>
      <c r="F20" s="485">
        <v>200</v>
      </c>
      <c r="G20" s="485">
        <f>3882.54+331.27+3456.35+500+1530+1200+1900+2730</f>
        <v>15530.16</v>
      </c>
      <c r="H20" s="485">
        <f t="shared" si="2"/>
        <v>52777.59</v>
      </c>
      <c r="I20" s="485">
        <v>28375</v>
      </c>
      <c r="J20" s="485">
        <v>26700</v>
      </c>
      <c r="K20" s="500" t="s">
        <v>585</v>
      </c>
    </row>
    <row r="21" spans="1:11" ht="100.2" customHeight="1" x14ac:dyDescent="0.25">
      <c r="A21" s="479" t="s">
        <v>544</v>
      </c>
      <c r="B21" s="485">
        <v>300</v>
      </c>
      <c r="C21" s="485">
        <f>18615+1900+6000+11868+22789</f>
        <v>61172</v>
      </c>
      <c r="D21" s="486"/>
      <c r="E21" s="485">
        <f>2800+450+78000+12500-F21</f>
        <v>80800</v>
      </c>
      <c r="F21" s="485">
        <f>12500+450</f>
        <v>12950</v>
      </c>
      <c r="G21" s="485">
        <f>150+250+600+500+225+120</f>
        <v>1845</v>
      </c>
      <c r="H21" s="485">
        <f t="shared" si="2"/>
        <v>157067</v>
      </c>
      <c r="I21" s="485">
        <v>155758</v>
      </c>
      <c r="J21" s="485">
        <v>108898</v>
      </c>
      <c r="K21" s="500" t="s">
        <v>586</v>
      </c>
    </row>
    <row r="22" spans="1:11" ht="58.2" customHeight="1" x14ac:dyDescent="0.25">
      <c r="A22" s="479" t="s">
        <v>28</v>
      </c>
      <c r="B22" s="485"/>
      <c r="C22" s="485"/>
      <c r="D22" s="486"/>
      <c r="E22" s="485">
        <f>6000+800+150+4500+1000+22500+5000+672.18+650+5692.2+875+14250+2250+5000+750+2400-F22</f>
        <v>61164.380000000005</v>
      </c>
      <c r="F22" s="485">
        <f>800+1000+5000+650+875+2250+750</f>
        <v>11325</v>
      </c>
      <c r="G22" s="485">
        <f>100+9000+1200+6000+37500+1067+90+330+7300+10000+100+1350+150+200+312+2560+1350+9850+521.74+200+4455.8+2880+1300+2200</f>
        <v>100016.54000000001</v>
      </c>
      <c r="H22" s="485">
        <f t="shared" si="2"/>
        <v>172505.92</v>
      </c>
      <c r="I22" s="485">
        <v>104580.36</v>
      </c>
      <c r="J22" s="485">
        <v>112882</v>
      </c>
      <c r="K22" s="500" t="s">
        <v>587</v>
      </c>
    </row>
    <row r="23" spans="1:11" ht="50.25" customHeight="1" x14ac:dyDescent="0.25">
      <c r="A23" s="479" t="s">
        <v>18</v>
      </c>
      <c r="B23" s="485">
        <f>3689.06+16214.99</f>
        <v>19904.05</v>
      </c>
      <c r="C23" s="485">
        <f>4611.32+20268.74</f>
        <v>24880.06</v>
      </c>
      <c r="D23" s="486"/>
      <c r="E23" s="485">
        <f>15678.5+17500+46617.59+3600+3200+4800-F23</f>
        <v>79796.09</v>
      </c>
      <c r="F23" s="485">
        <f>3200+4800+3600</f>
        <v>11600</v>
      </c>
      <c r="G23" s="485">
        <f>922.26+8107.5+5344.53+4611.32+2623.22</f>
        <v>21608.83</v>
      </c>
      <c r="H23" s="485">
        <f t="shared" si="2"/>
        <v>157789.03000000003</v>
      </c>
      <c r="I23" s="485">
        <v>122006.08167</v>
      </c>
      <c r="J23" s="485">
        <v>130153</v>
      </c>
      <c r="K23" s="500" t="s">
        <v>588</v>
      </c>
    </row>
    <row r="24" spans="1:11" ht="38.4" customHeight="1" x14ac:dyDescent="0.25">
      <c r="A24" s="479" t="s">
        <v>19</v>
      </c>
      <c r="B24" s="485"/>
      <c r="C24" s="485"/>
      <c r="D24" s="486"/>
      <c r="E24" s="485">
        <f>'P&amp;L Budget'!P72-F24</f>
        <v>36000.639999999999</v>
      </c>
      <c r="F24" s="485">
        <v>30286.36</v>
      </c>
      <c r="G24" s="485"/>
      <c r="H24" s="485">
        <f t="shared" si="2"/>
        <v>66287</v>
      </c>
      <c r="I24" s="485">
        <v>33020</v>
      </c>
      <c r="J24" s="485">
        <v>29765</v>
      </c>
      <c r="K24" s="500" t="s">
        <v>589</v>
      </c>
    </row>
    <row r="25" spans="1:11" ht="64.5" customHeight="1" x14ac:dyDescent="0.25">
      <c r="A25" s="479" t="s">
        <v>537</v>
      </c>
      <c r="B25" s="485">
        <f>920+933.33+1526.67+1009.09+591.76+2000+8800+2200+1411+748+8189.71+2</f>
        <v>28331.559999999998</v>
      </c>
      <c r="C25" s="485">
        <f>6800+1130.17+2418.33+600+3261.36+300+574.71+11000+2750+1763.75+935+15681.14</f>
        <v>47214.46</v>
      </c>
      <c r="D25" s="486"/>
      <c r="E25" s="485">
        <f>75+500+150+28500+1990.11+4000+600+11500+2500+200+50+5250+500+1200+475+50000+250+18400+4000+21500+1875+14434.2+1320+10600+2000+6500+50000+50000-18000-F25</f>
        <v>254309.2</v>
      </c>
      <c r="F25" s="485">
        <f>500+1990.11+600+2500+50+500+475+250+4000+1875+1320+2000</f>
        <v>16060.11</v>
      </c>
      <c r="G25" s="485">
        <f>1200+10649+300+450+638.33+120+300+1396.67+1641.67+720+943.33+120+60+694+354.55+934.71+102.94+685.88+2200+4400+550+1100+352.75+705.5+2250+4094.86+4522.43+9094.86+187+374+11000-659.77</f>
        <v>61482.710000000006</v>
      </c>
      <c r="H25" s="485">
        <f t="shared" si="2"/>
        <v>407398.04</v>
      </c>
      <c r="I25" s="485">
        <v>237018.81</v>
      </c>
      <c r="J25" s="485">
        <f>' Cash FY21-BOD Approved 06.2020'!E23+11000</f>
        <v>235189</v>
      </c>
      <c r="K25" s="500" t="s">
        <v>590</v>
      </c>
    </row>
    <row r="26" spans="1:11" ht="51" customHeight="1" x14ac:dyDescent="0.25">
      <c r="A26" s="479" t="s">
        <v>437</v>
      </c>
      <c r="B26" s="485">
        <f>4081.9</f>
        <v>4081.9</v>
      </c>
      <c r="C26" s="485">
        <f>6211.12</f>
        <v>6211.12</v>
      </c>
      <c r="D26" s="486"/>
      <c r="E26" s="485">
        <f>13637.5+1160-F26</f>
        <v>13637.5</v>
      </c>
      <c r="F26" s="485">
        <v>1160</v>
      </c>
      <c r="G26" s="485">
        <f>4265.44+733.09+2033.45+312+150+200</f>
        <v>7693.98</v>
      </c>
      <c r="H26" s="485">
        <f t="shared" si="2"/>
        <v>32784.5</v>
      </c>
      <c r="I26" s="485">
        <v>24691.5</v>
      </c>
      <c r="J26" s="485">
        <v>24345</v>
      </c>
      <c r="K26" s="500" t="s">
        <v>594</v>
      </c>
    </row>
    <row r="27" spans="1:11" ht="34.5" customHeight="1" x14ac:dyDescent="0.25">
      <c r="A27" s="479" t="s">
        <v>546</v>
      </c>
      <c r="B27" s="485">
        <v>0</v>
      </c>
      <c r="C27" s="485">
        <f>+'[2]Combined Summary-Proof'!$I$219</f>
        <v>0</v>
      </c>
      <c r="D27" s="486"/>
      <c r="E27" s="485">
        <f>SUM(29.62+4310.5+325+892.51+600)*12+12155-F27</f>
        <v>67296.56</v>
      </c>
      <c r="F27" s="485">
        <v>18750</v>
      </c>
      <c r="G27" s="485">
        <f>SUM(699.697+16.67+533.33)*12</f>
        <v>14996.364000000001</v>
      </c>
      <c r="H27" s="485">
        <f t="shared" si="2"/>
        <v>101042.924</v>
      </c>
      <c r="I27" s="485">
        <v>74733.959999999992</v>
      </c>
      <c r="J27" s="485">
        <f>68100+6810+6810</f>
        <v>81720</v>
      </c>
      <c r="K27" s="500" t="s">
        <v>591</v>
      </c>
    </row>
    <row r="28" spans="1:11" ht="26.25" customHeight="1" x14ac:dyDescent="0.25">
      <c r="A28" s="479" t="s">
        <v>23</v>
      </c>
      <c r="B28" s="485">
        <f>16170+2000+741.18</f>
        <v>18911.18</v>
      </c>
      <c r="C28" s="485">
        <v>926.47</v>
      </c>
      <c r="D28" s="486"/>
      <c r="E28" s="485">
        <f>2000+3150</f>
        <v>5150</v>
      </c>
      <c r="F28" s="485"/>
      <c r="G28" s="485">
        <f>926.47+185.29+370.59+2000</f>
        <v>3482.35</v>
      </c>
      <c r="H28" s="485">
        <f t="shared" si="2"/>
        <v>28470</v>
      </c>
      <c r="I28" s="485">
        <v>22975</v>
      </c>
      <c r="J28" s="485">
        <f>2500+6500+14950+670+615+3500+500+500</f>
        <v>29735</v>
      </c>
      <c r="K28" s="500" t="s">
        <v>548</v>
      </c>
    </row>
    <row r="29" spans="1:11" ht="61.8" customHeight="1" x14ac:dyDescent="0.25">
      <c r="A29" s="479" t="s">
        <v>25</v>
      </c>
      <c r="B29" s="485"/>
      <c r="C29" s="485"/>
      <c r="D29" s="486"/>
      <c r="E29" s="485">
        <f>'P&amp;L Budget'!P52+'P&amp;L Budget'!P56-F29</f>
        <v>108000</v>
      </c>
      <c r="F29" s="485">
        <v>6000</v>
      </c>
      <c r="G29" s="485"/>
      <c r="H29" s="485">
        <f t="shared" si="2"/>
        <v>114000</v>
      </c>
      <c r="I29" s="485">
        <v>108240</v>
      </c>
      <c r="J29" s="485">
        <f>57600+5500+5500+1500</f>
        <v>70100</v>
      </c>
      <c r="K29" s="500" t="s">
        <v>592</v>
      </c>
    </row>
    <row r="30" spans="1:11" ht="39" customHeight="1" x14ac:dyDescent="0.25">
      <c r="A30" s="479" t="s">
        <v>21</v>
      </c>
      <c r="B30" s="485"/>
      <c r="C30" s="485"/>
      <c r="D30" s="486"/>
      <c r="E30" s="485"/>
      <c r="F30" s="485"/>
      <c r="G30" s="485">
        <f>'P&amp;L Budget'!P73</f>
        <v>85000</v>
      </c>
      <c r="H30" s="485">
        <f t="shared" si="2"/>
        <v>85000</v>
      </c>
      <c r="I30" s="485">
        <v>70000</v>
      </c>
      <c r="J30" s="485">
        <v>95000</v>
      </c>
      <c r="K30" s="500" t="s">
        <v>593</v>
      </c>
    </row>
    <row r="31" spans="1:11" x14ac:dyDescent="0.25">
      <c r="B31" s="487"/>
      <c r="C31" s="487"/>
      <c r="D31" s="494"/>
      <c r="E31" s="487"/>
      <c r="F31" s="487"/>
      <c r="G31" s="487"/>
      <c r="H31" s="487"/>
      <c r="I31" s="487"/>
      <c r="J31" s="487"/>
    </row>
    <row r="32" spans="1:11" x14ac:dyDescent="0.25">
      <c r="A32" s="488" t="s">
        <v>22</v>
      </c>
      <c r="B32" s="489">
        <f t="shared" ref="B32:H32" si="3">SUM(B17:B30)</f>
        <v>213511.07999999996</v>
      </c>
      <c r="C32" s="489">
        <f t="shared" si="3"/>
        <v>518247.98</v>
      </c>
      <c r="D32" s="489">
        <f t="shared" si="3"/>
        <v>588000</v>
      </c>
      <c r="E32" s="489">
        <f t="shared" si="3"/>
        <v>1524464.38</v>
      </c>
      <c r="F32" s="489">
        <f t="shared" si="3"/>
        <v>170269.46</v>
      </c>
      <c r="G32" s="489">
        <f t="shared" si="3"/>
        <v>2131824.1040000003</v>
      </c>
      <c r="H32" s="489">
        <f t="shared" si="3"/>
        <v>5146317.0039999997</v>
      </c>
      <c r="I32" s="489">
        <v>4455919.0008399999</v>
      </c>
      <c r="J32" s="489">
        <f>SUM(J17:J30)</f>
        <v>4219996</v>
      </c>
      <c r="K32" s="502"/>
    </row>
    <row r="33" spans="1:11" x14ac:dyDescent="0.25">
      <c r="B33" s="483"/>
      <c r="C33" s="483"/>
      <c r="D33" s="484"/>
      <c r="E33" s="483"/>
      <c r="F33" s="483"/>
      <c r="G33" s="483"/>
      <c r="H33" s="483"/>
      <c r="I33" s="483"/>
      <c r="J33" s="483"/>
      <c r="K33" s="503"/>
    </row>
    <row r="34" spans="1:11" ht="12.6" thickBot="1" x14ac:dyDescent="0.3">
      <c r="A34" s="488" t="s">
        <v>26</v>
      </c>
      <c r="B34" s="490">
        <f t="shared" ref="B34:H34" si="4">B14-B32</f>
        <v>-213511.07999999996</v>
      </c>
      <c r="C34" s="490">
        <f t="shared" si="4"/>
        <v>518843.52</v>
      </c>
      <c r="D34" s="490">
        <f t="shared" si="4"/>
        <v>1249435</v>
      </c>
      <c r="E34" s="490">
        <f t="shared" si="4"/>
        <v>366487.01000000024</v>
      </c>
      <c r="F34" s="490">
        <f t="shared" si="4"/>
        <v>37350.149999999994</v>
      </c>
      <c r="G34" s="490">
        <f t="shared" si="4"/>
        <v>-1961279.1040000003</v>
      </c>
      <c r="H34" s="490">
        <f t="shared" si="4"/>
        <v>-2674.5039999997243</v>
      </c>
      <c r="I34" s="490">
        <v>43559.999160000123</v>
      </c>
      <c r="J34" s="490">
        <f>J14-J32</f>
        <v>548986.43999999948</v>
      </c>
      <c r="K34" s="504"/>
    </row>
    <row r="35" spans="1:11" ht="12.6" thickTop="1" x14ac:dyDescent="0.25">
      <c r="K35" s="505"/>
    </row>
    <row r="37" spans="1:11" hidden="1" x14ac:dyDescent="0.25"/>
    <row r="38" spans="1:11" ht="12" hidden="1" customHeight="1" thickBot="1" x14ac:dyDescent="0.3">
      <c r="B38" s="491">
        <f>B32/H32</f>
        <v>4.148813216015404E-2</v>
      </c>
      <c r="C38" s="491">
        <f>C32/H32</f>
        <v>0.10070269274068994</v>
      </c>
      <c r="D38" s="492">
        <f>(D32+E32+G32)/H32</f>
        <v>0.82472348296871456</v>
      </c>
      <c r="E38" s="491">
        <f>SUM(B38:D38)</f>
        <v>0.96691430786955856</v>
      </c>
      <c r="F38" s="491"/>
      <c r="H38" s="493"/>
      <c r="I38" s="493">
        <v>-8.3999987691640854E-4</v>
      </c>
      <c r="J38" s="493"/>
    </row>
    <row r="39" spans="1:11" ht="24" hidden="1" customHeight="1" thickBot="1" x14ac:dyDescent="0.3">
      <c r="B39" s="481" t="s">
        <v>36</v>
      </c>
      <c r="C39" s="481" t="s">
        <v>37</v>
      </c>
      <c r="D39" s="482" t="s">
        <v>38</v>
      </c>
      <c r="I39" s="481" t="s">
        <v>255</v>
      </c>
      <c r="K39" s="498"/>
    </row>
    <row r="40" spans="1:11" ht="12" hidden="1" customHeight="1" x14ac:dyDescent="0.25"/>
    <row r="41" spans="1:11" hidden="1" x14ac:dyDescent="0.25"/>
    <row r="43" spans="1:11" ht="13.8" customHeight="1" x14ac:dyDescent="0.25">
      <c r="A43" s="569" t="s">
        <v>614</v>
      </c>
      <c r="B43" s="569"/>
      <c r="C43" s="569"/>
      <c r="D43" s="569"/>
      <c r="E43" s="569"/>
      <c r="F43" s="569"/>
      <c r="G43" s="569"/>
      <c r="H43" s="569"/>
    </row>
    <row r="46" spans="1:11" ht="13.8" x14ac:dyDescent="0.25">
      <c r="A46" s="568"/>
    </row>
  </sheetData>
  <mergeCells count="4">
    <mergeCell ref="A1:K1"/>
    <mergeCell ref="A2:K2"/>
    <mergeCell ref="A3:K3"/>
    <mergeCell ref="A43:H43"/>
  </mergeCells>
  <pageMargins left="0.2" right="0" top="0.5" bottom="0.25" header="0.3" footer="0.3"/>
  <pageSetup scale="85" orientation="landscape" r:id="rId1"/>
  <headerFooter>
    <oddFooter>&amp;L&amp;8&amp;Z&amp;F&amp;R&amp;P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97696-52DE-4F3D-9104-25F4FF22D88C}">
  <dimension ref="A1:AC137"/>
  <sheetViews>
    <sheetView zoomScale="117" zoomScaleNormal="117" workbookViewId="0">
      <pane ySplit="4" topLeftCell="A111" activePane="bottomLeft" state="frozen"/>
      <selection pane="bottomLeft" activeCell="B43" sqref="B43"/>
    </sheetView>
  </sheetViews>
  <sheetFormatPr defaultColWidth="8.6640625" defaultRowHeight="13.2" x14ac:dyDescent="0.25"/>
  <cols>
    <col min="1" max="1" width="3.33203125" style="390" customWidth="1"/>
    <col min="2" max="2" width="8.6640625" style="391"/>
    <col min="3" max="3" width="29.33203125" style="391" customWidth="1"/>
    <col min="4" max="4" width="13.33203125" style="387" hidden="1" customWidth="1"/>
    <col min="5" max="5" width="12.5546875" style="387" hidden="1" customWidth="1"/>
    <col min="6" max="8" width="13.33203125" style="387" hidden="1" customWidth="1"/>
    <col min="9" max="10" width="12.5546875" style="387" hidden="1" customWidth="1"/>
    <col min="11" max="11" width="13.33203125" style="387" hidden="1" customWidth="1"/>
    <col min="12" max="14" width="12.5546875" style="387" hidden="1" customWidth="1"/>
    <col min="15" max="15" width="15" style="387" hidden="1" customWidth="1"/>
    <col min="16" max="16" width="12.33203125" style="392" bestFit="1" customWidth="1"/>
    <col min="17" max="17" width="39.6640625" style="393" hidden="1" customWidth="1"/>
    <col min="18" max="18" width="12.44140625" style="387" hidden="1" customWidth="1"/>
    <col min="19" max="19" width="15.33203125" style="387" hidden="1" customWidth="1"/>
    <col min="20" max="20" width="14.5546875" style="387" customWidth="1"/>
    <col min="21" max="21" width="13.6640625" style="387" customWidth="1"/>
    <col min="22" max="22" width="15.5546875" style="387" bestFit="1" customWidth="1"/>
    <col min="23" max="23" width="12.6640625" style="387" hidden="1" customWidth="1"/>
    <col min="24" max="24" width="3.5546875" style="387" customWidth="1"/>
    <col min="25" max="25" width="15.33203125" style="387" customWidth="1"/>
    <col min="26" max="26" width="14.5546875" style="387" bestFit="1" customWidth="1"/>
    <col min="27" max="27" width="13.5546875" style="387" bestFit="1" customWidth="1"/>
    <col min="28" max="16384" width="8.6640625" style="387"/>
  </cols>
  <sheetData>
    <row r="1" spans="1:23" ht="16.2" thickBot="1" x14ac:dyDescent="0.35">
      <c r="A1" s="328" t="s">
        <v>481</v>
      </c>
      <c r="B1" s="382"/>
      <c r="C1" s="382"/>
      <c r="D1" s="382"/>
      <c r="E1" s="382"/>
      <c r="F1" s="382"/>
      <c r="G1" s="382"/>
      <c r="H1" s="382"/>
      <c r="I1" s="382"/>
      <c r="J1" s="382"/>
      <c r="K1" s="382"/>
      <c r="L1" s="382"/>
      <c r="M1" s="382"/>
      <c r="N1" s="382"/>
      <c r="O1" s="382"/>
      <c r="P1" s="383"/>
      <c r="Q1" s="384" t="s">
        <v>441</v>
      </c>
      <c r="R1" s="385"/>
      <c r="S1" s="386"/>
    </row>
    <row r="2" spans="1:23" ht="15.6" x14ac:dyDescent="0.3">
      <c r="A2" s="328" t="s">
        <v>482</v>
      </c>
      <c r="B2" s="382"/>
      <c r="C2" s="382"/>
      <c r="D2" s="382"/>
      <c r="E2" s="382"/>
      <c r="F2" s="382"/>
      <c r="G2" s="382"/>
      <c r="H2" s="382"/>
      <c r="I2" s="382"/>
      <c r="J2" s="382"/>
      <c r="K2" s="382"/>
      <c r="L2" s="382"/>
      <c r="M2" s="382"/>
      <c r="N2" s="382"/>
      <c r="O2" s="382"/>
      <c r="P2" s="383"/>
      <c r="Q2" s="388"/>
      <c r="R2" s="389" t="s">
        <v>483</v>
      </c>
      <c r="S2" s="389" t="s">
        <v>484</v>
      </c>
    </row>
    <row r="3" spans="1:23" x14ac:dyDescent="0.25">
      <c r="R3" s="394">
        <v>0.1</v>
      </c>
      <c r="S3" s="394">
        <v>0.2</v>
      </c>
    </row>
    <row r="4" spans="1:23" s="395" customFormat="1" ht="26.4" x14ac:dyDescent="0.25">
      <c r="B4" s="396" t="s">
        <v>253</v>
      </c>
      <c r="C4" s="396" t="s">
        <v>254</v>
      </c>
      <c r="D4" s="397" t="s">
        <v>45</v>
      </c>
      <c r="E4" s="397" t="s">
        <v>46</v>
      </c>
      <c r="F4" s="397" t="s">
        <v>47</v>
      </c>
      <c r="G4" s="397" t="s">
        <v>48</v>
      </c>
      <c r="H4" s="397" t="s">
        <v>49</v>
      </c>
      <c r="I4" s="397" t="s">
        <v>50</v>
      </c>
      <c r="J4" s="397" t="s">
        <v>51</v>
      </c>
      <c r="K4" s="397" t="s">
        <v>52</v>
      </c>
      <c r="L4" s="397" t="s">
        <v>53</v>
      </c>
      <c r="M4" s="397" t="s">
        <v>54</v>
      </c>
      <c r="N4" s="397" t="s">
        <v>55</v>
      </c>
      <c r="O4" s="397" t="s">
        <v>56</v>
      </c>
      <c r="P4" s="398" t="s">
        <v>485</v>
      </c>
      <c r="Q4" s="399" t="s">
        <v>446</v>
      </c>
      <c r="R4" s="397" t="s">
        <v>256</v>
      </c>
      <c r="S4" s="397" t="s">
        <v>257</v>
      </c>
      <c r="T4" s="400" t="s">
        <v>486</v>
      </c>
      <c r="U4" s="400" t="s">
        <v>449</v>
      </c>
      <c r="V4" s="397" t="s">
        <v>447</v>
      </c>
      <c r="W4" s="401" t="s">
        <v>260</v>
      </c>
    </row>
    <row r="5" spans="1:23" x14ac:dyDescent="0.25">
      <c r="A5" s="402"/>
      <c r="B5" s="403">
        <v>4010</v>
      </c>
      <c r="C5" s="403" t="s">
        <v>261</v>
      </c>
      <c r="D5" s="404">
        <f>'[3]Combined Overview'!I9</f>
        <v>11525</v>
      </c>
      <c r="E5" s="404">
        <f>'[3]Combined Overview'!J9</f>
        <v>13590</v>
      </c>
      <c r="F5" s="404">
        <f>'[3]Combined Overview'!K9</f>
        <v>17650</v>
      </c>
      <c r="G5" s="404">
        <f>'[3]Combined Overview'!L9</f>
        <v>9850</v>
      </c>
      <c r="H5" s="404">
        <f>'[3]Combined Overview'!M9</f>
        <v>15815</v>
      </c>
      <c r="I5" s="404">
        <f>'[3]Combined Overview'!N9</f>
        <v>93400</v>
      </c>
      <c r="J5" s="404">
        <f>'[3]Combined Overview'!O9</f>
        <v>18825</v>
      </c>
      <c r="K5" s="404">
        <f>'[3]Combined Overview'!P9</f>
        <v>19575</v>
      </c>
      <c r="L5" s="404">
        <f>'[3]Combined Overview'!Q9</f>
        <v>6325</v>
      </c>
      <c r="M5" s="404">
        <f>'[3]Combined Overview'!R9</f>
        <v>13500</v>
      </c>
      <c r="N5" s="404">
        <f>'[3]Combined Overview'!S9</f>
        <v>10515</v>
      </c>
      <c r="O5" s="404">
        <f>'[3]Combined Overview'!T9</f>
        <v>-11357</v>
      </c>
      <c r="P5" s="469">
        <f>ROUNDUP(SUM(D5:O5),0)-1500</f>
        <v>217713</v>
      </c>
      <c r="Q5" s="359" t="s">
        <v>487</v>
      </c>
      <c r="R5" s="406">
        <v>-24357</v>
      </c>
      <c r="S5" s="407">
        <v>219213</v>
      </c>
      <c r="T5" s="404">
        <f>'[3]Combined Overview'!X9</f>
        <v>219173.04</v>
      </c>
      <c r="U5" s="404">
        <f>'[4]6-Hm FY21 Budget Variance (P&amp;L)'!$G$4</f>
        <v>228237.04</v>
      </c>
      <c r="V5" s="404">
        <v>225000</v>
      </c>
      <c r="W5" s="408"/>
    </row>
    <row r="6" spans="1:23" x14ac:dyDescent="0.25">
      <c r="A6" s="402"/>
      <c r="B6" s="403">
        <v>4020</v>
      </c>
      <c r="C6" s="403" t="s">
        <v>263</v>
      </c>
      <c r="D6" s="404">
        <f>'[3]Combined Overview'!I11</f>
        <v>-22250</v>
      </c>
      <c r="E6" s="404">
        <f>'[3]Combined Overview'!J11</f>
        <v>7750</v>
      </c>
      <c r="F6" s="404">
        <f>'[3]Combined Overview'!K11</f>
        <v>12750</v>
      </c>
      <c r="G6" s="404">
        <f>'[3]Combined Overview'!L11</f>
        <v>7750</v>
      </c>
      <c r="H6" s="404">
        <f>'[3]Combined Overview'!M11</f>
        <v>27750</v>
      </c>
      <c r="I6" s="404">
        <f>'[3]Combined Overview'!N11</f>
        <v>29550</v>
      </c>
      <c r="J6" s="404">
        <f>'[3]Combined Overview'!O11</f>
        <v>20250</v>
      </c>
      <c r="K6" s="404">
        <f>'[3]Combined Overview'!P11</f>
        <v>7750</v>
      </c>
      <c r="L6" s="404">
        <f>'[3]Combined Overview'!Q11</f>
        <v>27750</v>
      </c>
      <c r="M6" s="404">
        <f>'[3]Combined Overview'!R11</f>
        <v>16750</v>
      </c>
      <c r="N6" s="404">
        <f>'[3]Combined Overview'!S11</f>
        <v>17750</v>
      </c>
      <c r="O6" s="404">
        <f>'[3]Combined Overview'!T11</f>
        <v>88995</v>
      </c>
      <c r="P6" s="469">
        <f>ROUNDUP(SUM(D6:O6),0)-22500-1500</f>
        <v>218545</v>
      </c>
      <c r="Q6" s="409" t="s">
        <v>488</v>
      </c>
      <c r="R6" s="406">
        <v>-2505</v>
      </c>
      <c r="S6" s="407">
        <v>272545</v>
      </c>
      <c r="T6" s="404">
        <f>'[3]Combined Overview'!X11</f>
        <v>53937.919999999998</v>
      </c>
      <c r="U6" s="404">
        <f>'[4]6-Hm FY21 Budget Variance (P&amp;L)'!G6</f>
        <v>139637.91999999998</v>
      </c>
      <c r="V6" s="404">
        <v>278000</v>
      </c>
      <c r="W6" s="408"/>
    </row>
    <row r="7" spans="1:23" x14ac:dyDescent="0.25">
      <c r="A7" s="402"/>
      <c r="B7" s="403">
        <v>4030</v>
      </c>
      <c r="C7" s="403" t="s">
        <v>265</v>
      </c>
      <c r="D7" s="404">
        <f>'[3]Combined Overview'!I12</f>
        <v>3200</v>
      </c>
      <c r="E7" s="404">
        <f>'[3]Combined Overview'!J12</f>
        <v>700</v>
      </c>
      <c r="F7" s="404">
        <f>'[3]Combined Overview'!K12</f>
        <v>2200</v>
      </c>
      <c r="G7" s="404">
        <f>'[3]Combined Overview'!L12</f>
        <v>700</v>
      </c>
      <c r="H7" s="404">
        <f>'[3]Combined Overview'!M12</f>
        <v>7700</v>
      </c>
      <c r="I7" s="404">
        <f>'[3]Combined Overview'!N12</f>
        <v>3200</v>
      </c>
      <c r="J7" s="404">
        <f>'[3]Combined Overview'!O12</f>
        <v>700</v>
      </c>
      <c r="K7" s="404">
        <f>'[3]Combined Overview'!P12</f>
        <v>200</v>
      </c>
      <c r="L7" s="404">
        <f>'[3]Combined Overview'!Q12</f>
        <v>4700</v>
      </c>
      <c r="M7" s="404">
        <f>'[3]Combined Overview'!R12</f>
        <v>5450</v>
      </c>
      <c r="N7" s="404">
        <f>'[3]Combined Overview'!S12</f>
        <v>7700</v>
      </c>
      <c r="O7" s="404">
        <f>'[3]Combined Overview'!T12</f>
        <v>-3015</v>
      </c>
      <c r="P7" s="469">
        <f>ROUNDUP(SUM(D7:O7),0)-3343.5</f>
        <v>30091.5</v>
      </c>
      <c r="Q7" s="359" t="s">
        <v>487</v>
      </c>
      <c r="R7" s="406">
        <v>-3715</v>
      </c>
      <c r="S7" s="407">
        <v>33435</v>
      </c>
      <c r="T7" s="404">
        <f>'[3]Combined Overview'!X12</f>
        <v>18559.5</v>
      </c>
      <c r="U7" s="404">
        <f>'[4]6-Hm FY21 Budget Variance (P&amp;L)'!G7</f>
        <v>19059.5</v>
      </c>
      <c r="V7" s="404">
        <v>24000</v>
      </c>
      <c r="W7" s="410"/>
    </row>
    <row r="8" spans="1:23" x14ac:dyDescent="0.25">
      <c r="A8" s="402"/>
      <c r="B8" s="403">
        <v>4035</v>
      </c>
      <c r="C8" s="403" t="s">
        <v>267</v>
      </c>
      <c r="D8" s="404">
        <f>'[3]Combined Overview'!I13</f>
        <v>0</v>
      </c>
      <c r="E8" s="404">
        <f>'[3]Combined Overview'!J13</f>
        <v>0</v>
      </c>
      <c r="F8" s="404">
        <f>'[3]Combined Overview'!K13</f>
        <v>0</v>
      </c>
      <c r="G8" s="404">
        <f>'[3]Combined Overview'!L13</f>
        <v>0</v>
      </c>
      <c r="H8" s="404">
        <f>'[3]Combined Overview'!M13</f>
        <v>0</v>
      </c>
      <c r="I8" s="404">
        <f>'[3]Combined Overview'!N13</f>
        <v>0</v>
      </c>
      <c r="J8" s="404">
        <f>'[3]Combined Overview'!O13</f>
        <v>0</v>
      </c>
      <c r="K8" s="404">
        <f>'[3]Combined Overview'!P13</f>
        <v>0</v>
      </c>
      <c r="L8" s="404">
        <f>'[3]Combined Overview'!Q13</f>
        <v>0</v>
      </c>
      <c r="M8" s="404">
        <f>'[3]Combined Overview'!R13</f>
        <v>0</v>
      </c>
      <c r="N8" s="404">
        <f>'[3]Combined Overview'!S13</f>
        <v>0</v>
      </c>
      <c r="O8" s="404">
        <f>'[3]Combined Overview'!T13</f>
        <v>0</v>
      </c>
      <c r="P8" s="469">
        <f>ROUNDUP(SUM(D8:O8),0)</f>
        <v>0</v>
      </c>
      <c r="Q8" s="359" t="s">
        <v>489</v>
      </c>
      <c r="R8" s="411"/>
      <c r="S8" s="407">
        <v>15000</v>
      </c>
      <c r="T8" s="404">
        <f>'[3]Combined Overview'!X13</f>
        <v>12589</v>
      </c>
      <c r="U8" s="404">
        <f>'[4]6-Hm FY21 Budget Variance (P&amp;L)'!G8</f>
        <v>15089</v>
      </c>
      <c r="V8" s="404">
        <v>15000</v>
      </c>
    </row>
    <row r="9" spans="1:23" x14ac:dyDescent="0.25">
      <c r="A9" s="402"/>
      <c r="B9" s="403">
        <v>4050</v>
      </c>
      <c r="C9" s="403" t="s">
        <v>268</v>
      </c>
      <c r="D9" s="404">
        <f>'[3]Combined Overview'!I16</f>
        <v>0</v>
      </c>
      <c r="E9" s="404">
        <f>'[3]Combined Overview'!J16</f>
        <v>0</v>
      </c>
      <c r="F9" s="404">
        <f>'[3]Combined Overview'!K16</f>
        <v>0</v>
      </c>
      <c r="G9" s="404">
        <f>'[3]Combined Overview'!L16</f>
        <v>0</v>
      </c>
      <c r="H9" s="404">
        <f>'[3]Combined Overview'!M16</f>
        <v>0</v>
      </c>
      <c r="I9" s="404">
        <f>'[3]Combined Overview'!N16</f>
        <v>0</v>
      </c>
      <c r="J9" s="404">
        <f>'[3]Combined Overview'!O16</f>
        <v>0</v>
      </c>
      <c r="K9" s="404">
        <f>'[3]Combined Overview'!P16</f>
        <v>0</v>
      </c>
      <c r="L9" s="404">
        <f>'[3]Combined Overview'!Q16</f>
        <v>0</v>
      </c>
      <c r="M9" s="404">
        <f>'[3]Combined Overview'!R16</f>
        <v>0</v>
      </c>
      <c r="N9" s="404">
        <f>'[3]Combined Overview'!S16</f>
        <v>0</v>
      </c>
      <c r="O9" s="404">
        <f>'[3]Combined Overview'!T16</f>
        <v>85000</v>
      </c>
      <c r="P9" s="469">
        <f>ROUNDUP(SUM(D9:O9),0)+303313</f>
        <v>388313</v>
      </c>
      <c r="Q9" s="359" t="s">
        <v>490</v>
      </c>
      <c r="R9" s="411">
        <v>50000</v>
      </c>
      <c r="S9" s="407">
        <v>85000</v>
      </c>
      <c r="T9" s="404">
        <f>'[3]Combined Overview'!X16</f>
        <v>437207.94</v>
      </c>
      <c r="U9" s="404">
        <f>'[4]6-Hm FY21 Budget Variance (P&amp;L)'!G9</f>
        <v>449407.94</v>
      </c>
      <c r="V9" s="404">
        <v>421000</v>
      </c>
    </row>
    <row r="10" spans="1:23" x14ac:dyDescent="0.25">
      <c r="A10" s="402"/>
      <c r="B10" s="403">
        <v>4055</v>
      </c>
      <c r="C10" s="403" t="s">
        <v>269</v>
      </c>
      <c r="D10" s="404">
        <f>'[3]Combined Overview'!I19</f>
        <v>5000</v>
      </c>
      <c r="E10" s="404">
        <f>'[3]Combined Overview'!J19</f>
        <v>5000</v>
      </c>
      <c r="F10" s="404">
        <f>'[3]Combined Overview'!K19</f>
        <v>0</v>
      </c>
      <c r="G10" s="404">
        <f>'[3]Combined Overview'!L19</f>
        <v>0</v>
      </c>
      <c r="H10" s="404">
        <f>'[3]Combined Overview'!M19</f>
        <v>0</v>
      </c>
      <c r="I10" s="404">
        <f>'[3]Combined Overview'!N19</f>
        <v>0</v>
      </c>
      <c r="J10" s="404">
        <f>'[3]Combined Overview'!O19</f>
        <v>0</v>
      </c>
      <c r="K10" s="404">
        <f>'[3]Combined Overview'!P19</f>
        <v>0</v>
      </c>
      <c r="L10" s="404">
        <f>'[3]Combined Overview'!Q19</f>
        <v>0</v>
      </c>
      <c r="M10" s="404">
        <f>'[3]Combined Overview'!R19</f>
        <v>0</v>
      </c>
      <c r="N10" s="404">
        <f>'[3]Combined Overview'!S19</f>
        <v>0</v>
      </c>
      <c r="O10" s="404">
        <f>'[3]Combined Overview'!T19</f>
        <v>0</v>
      </c>
      <c r="P10" s="469">
        <f>ROUNDUP(SUM(D10:O10),0)</f>
        <v>10000</v>
      </c>
      <c r="Q10" s="359"/>
      <c r="R10" s="411"/>
      <c r="S10" s="407">
        <v>10000</v>
      </c>
      <c r="T10" s="404">
        <v>978</v>
      </c>
      <c r="U10" s="404">
        <f>'[4]6-Hm FY21 Budget Variance (P&amp;L)'!G10</f>
        <v>978</v>
      </c>
      <c r="V10" s="404">
        <v>0</v>
      </c>
    </row>
    <row r="11" spans="1:23" x14ac:dyDescent="0.25">
      <c r="A11" s="402"/>
      <c r="B11" s="403">
        <v>4056</v>
      </c>
      <c r="C11" s="403" t="s">
        <v>270</v>
      </c>
      <c r="D11" s="413">
        <f>'[3]Combined Overview'!I18</f>
        <v>0</v>
      </c>
      <c r="E11" s="413">
        <f>'[3]Combined Overview'!J18</f>
        <v>0</v>
      </c>
      <c r="F11" s="413">
        <f>'[3]Combined Overview'!K18</f>
        <v>0</v>
      </c>
      <c r="G11" s="413">
        <f>'[3]Combined Overview'!L18</f>
        <v>0</v>
      </c>
      <c r="H11" s="413">
        <f>'[3]Combined Overview'!M18</f>
        <v>0</v>
      </c>
      <c r="I11" s="413">
        <f>'[3]Combined Overview'!N18</f>
        <v>0</v>
      </c>
      <c r="J11" s="413">
        <f>'[3]Combined Overview'!O18</f>
        <v>0</v>
      </c>
      <c r="K11" s="413">
        <f>'[3]Combined Overview'!P18</f>
        <v>0</v>
      </c>
      <c r="L11" s="413">
        <f>'[3]Combined Overview'!Q18</f>
        <v>0</v>
      </c>
      <c r="M11" s="413">
        <f>'[3]Combined Overview'!R18</f>
        <v>0</v>
      </c>
      <c r="N11" s="413">
        <f>'[3]Combined Overview'!S18</f>
        <v>0</v>
      </c>
      <c r="O11" s="413">
        <f>'[3]Combined Overview'!T18</f>
        <v>0</v>
      </c>
      <c r="P11" s="469">
        <f>ROUNDUP(SUM(D11:O11),0)</f>
        <v>0</v>
      </c>
      <c r="Q11" s="359"/>
      <c r="R11" s="411"/>
      <c r="S11" s="407"/>
      <c r="T11" s="404">
        <v>0</v>
      </c>
      <c r="U11" s="404">
        <f>'[4]6-Hm FY21 Budget Variance (P&amp;L)'!G11</f>
        <v>-1000</v>
      </c>
      <c r="V11" s="404">
        <v>-500</v>
      </c>
    </row>
    <row r="12" spans="1:23" x14ac:dyDescent="0.25">
      <c r="A12" s="402"/>
      <c r="B12" s="403">
        <v>4080</v>
      </c>
      <c r="C12" s="403" t="s">
        <v>271</v>
      </c>
      <c r="D12" s="404">
        <f>'[3]Combined Overview'!I21</f>
        <v>0</v>
      </c>
      <c r="E12" s="404">
        <f>'[3]Combined Overview'!J21</f>
        <v>0</v>
      </c>
      <c r="F12" s="404">
        <f>'[3]Combined Overview'!K21</f>
        <v>0</v>
      </c>
      <c r="G12" s="404">
        <f>'[3]Combined Overview'!L21</f>
        <v>0</v>
      </c>
      <c r="H12" s="404">
        <f>'[3]Combined Overview'!M21</f>
        <v>0</v>
      </c>
      <c r="I12" s="404">
        <f>'[3]Combined Overview'!N21</f>
        <v>5000</v>
      </c>
      <c r="J12" s="404">
        <f>'[3]Combined Overview'!O21</f>
        <v>0</v>
      </c>
      <c r="K12" s="404">
        <f>'[3]Combined Overview'!P21</f>
        <v>0</v>
      </c>
      <c r="L12" s="404">
        <f>'[3]Combined Overview'!Q21</f>
        <v>0</v>
      </c>
      <c r="M12" s="404">
        <f>'[3]Combined Overview'!R21</f>
        <v>40000</v>
      </c>
      <c r="N12" s="404">
        <f>'[3]Combined Overview'!S21</f>
        <v>303313</v>
      </c>
      <c r="O12" s="404">
        <f>'[3]Combined Overview'!T21</f>
        <v>5000</v>
      </c>
      <c r="P12" s="469">
        <f>ROUNDUP(SUM(D12:O12),0)-303313</f>
        <v>50000</v>
      </c>
      <c r="Q12" s="359" t="s">
        <v>491</v>
      </c>
      <c r="R12" s="411"/>
      <c r="S12" s="407">
        <v>50000</v>
      </c>
      <c r="T12" s="404">
        <f>'[3]Combined Overview'!X21</f>
        <v>33500</v>
      </c>
      <c r="U12" s="404">
        <f>'[4]6-Hm FY21 Budget Variance (P&amp;L)'!G12</f>
        <v>33500</v>
      </c>
      <c r="V12" s="404">
        <v>25000</v>
      </c>
    </row>
    <row r="13" spans="1:23" x14ac:dyDescent="0.25">
      <c r="A13" s="402"/>
      <c r="B13" s="403">
        <v>4090</v>
      </c>
      <c r="C13" s="403" t="s">
        <v>272</v>
      </c>
      <c r="D13" s="404">
        <f>'[3]Combined Overview'!I22</f>
        <v>0</v>
      </c>
      <c r="E13" s="404">
        <f>'[3]Combined Overview'!J22</f>
        <v>5000</v>
      </c>
      <c r="F13" s="404">
        <f>'[3]Combined Overview'!K22</f>
        <v>0</v>
      </c>
      <c r="G13" s="404">
        <f>'[3]Combined Overview'!L22</f>
        <v>87500</v>
      </c>
      <c r="H13" s="404">
        <f>'[3]Combined Overview'!M22</f>
        <v>0</v>
      </c>
      <c r="I13" s="404">
        <f>'[3]Combined Overview'!N22</f>
        <v>5000</v>
      </c>
      <c r="J13" s="404">
        <f>'[3]Combined Overview'!O22</f>
        <v>0</v>
      </c>
      <c r="K13" s="404">
        <f>'[3]Combined Overview'!P22</f>
        <v>0</v>
      </c>
      <c r="L13" s="404">
        <f>'[3]Combined Overview'!Q22</f>
        <v>0</v>
      </c>
      <c r="M13" s="404">
        <f>'[3]Combined Overview'!R22</f>
        <v>0</v>
      </c>
      <c r="N13" s="404">
        <f>'[3]Combined Overview'!S22</f>
        <v>0</v>
      </c>
      <c r="O13" s="404">
        <f>'[3]Combined Overview'!T22</f>
        <v>0</v>
      </c>
      <c r="P13" s="469">
        <f>ROUNDUP(SUM(D13:O13),0)</f>
        <v>97500</v>
      </c>
      <c r="Q13" s="359"/>
      <c r="R13" s="411"/>
      <c r="S13" s="407">
        <v>97500</v>
      </c>
      <c r="T13" s="404">
        <f>'[3]Combined Overview'!X22</f>
        <v>20500</v>
      </c>
      <c r="U13" s="404">
        <f>'[4]6-Hm FY21 Budget Variance (P&amp;L)'!G13</f>
        <v>20500</v>
      </c>
      <c r="V13" s="404">
        <v>55000</v>
      </c>
    </row>
    <row r="14" spans="1:23" x14ac:dyDescent="0.25">
      <c r="A14" s="402"/>
      <c r="B14" s="403" t="s">
        <v>492</v>
      </c>
      <c r="C14" s="403" t="s">
        <v>493</v>
      </c>
      <c r="D14" s="404"/>
      <c r="E14" s="404"/>
      <c r="F14" s="404"/>
      <c r="G14" s="404"/>
      <c r="H14" s="404"/>
      <c r="I14" s="404"/>
      <c r="J14" s="404"/>
      <c r="K14" s="404"/>
      <c r="L14" s="404"/>
      <c r="M14" s="404"/>
      <c r="N14" s="404"/>
      <c r="O14" s="404"/>
      <c r="P14" s="405">
        <v>0</v>
      </c>
      <c r="Q14" s="359"/>
      <c r="R14" s="411"/>
      <c r="S14" s="407"/>
      <c r="T14" s="404">
        <v>153.38</v>
      </c>
      <c r="U14" s="404">
        <f>'[4]6-Hm FY21 Budget Variance (P&amp;L)'!$G$14</f>
        <v>153.38</v>
      </c>
      <c r="V14" s="404">
        <v>0</v>
      </c>
    </row>
    <row r="15" spans="1:23" x14ac:dyDescent="0.25">
      <c r="A15" s="402"/>
      <c r="B15" s="403">
        <v>4120</v>
      </c>
      <c r="C15" s="403" t="s">
        <v>273</v>
      </c>
      <c r="D15" s="404">
        <f>'[3]Combined Overview'!I27</f>
        <v>8000</v>
      </c>
      <c r="E15" s="404">
        <f>'[3]Combined Overview'!J27</f>
        <v>1235</v>
      </c>
      <c r="F15" s="404">
        <f>'[3]Combined Overview'!K27</f>
        <v>1235</v>
      </c>
      <c r="G15" s="404">
        <f>'[3]Combined Overview'!L27</f>
        <v>0</v>
      </c>
      <c r="H15" s="404">
        <f>'[3]Combined Overview'!M27</f>
        <v>0</v>
      </c>
      <c r="I15" s="404">
        <f>'[3]Combined Overview'!N27</f>
        <v>2470</v>
      </c>
      <c r="J15" s="404">
        <f>'[3]Combined Overview'!O27</f>
        <v>3705</v>
      </c>
      <c r="K15" s="404">
        <f>'[3]Combined Overview'!P27</f>
        <v>2470</v>
      </c>
      <c r="L15" s="404">
        <f>'[3]Combined Overview'!Q27</f>
        <v>2470</v>
      </c>
      <c r="M15" s="404">
        <f>'[3]Combined Overview'!R27</f>
        <v>1235</v>
      </c>
      <c r="N15" s="404">
        <f>'[3]Combined Overview'!S27</f>
        <v>0</v>
      </c>
      <c r="O15" s="404">
        <f>'[3]Combined Overview'!T27</f>
        <v>50000</v>
      </c>
      <c r="P15" s="469">
        <f>ROUNDUP(SUM(D15:O15),0)</f>
        <v>72820</v>
      </c>
      <c r="Q15" s="359" t="s">
        <v>494</v>
      </c>
      <c r="R15" s="411">
        <v>50000</v>
      </c>
      <c r="S15" s="407">
        <v>72230</v>
      </c>
      <c r="T15" s="404">
        <f>'[3]Combined Overview'!X27</f>
        <v>23205.78</v>
      </c>
      <c r="U15" s="404">
        <f>'[4]6-Hm FY21 Budget Variance (P&amp;L)'!G15</f>
        <v>25705.78</v>
      </c>
      <c r="V15" s="404">
        <v>9650</v>
      </c>
    </row>
    <row r="16" spans="1:23" x14ac:dyDescent="0.25">
      <c r="A16" s="402"/>
      <c r="B16" s="403">
        <v>4140</v>
      </c>
      <c r="C16" s="403" t="s">
        <v>274</v>
      </c>
      <c r="D16" s="404">
        <f>'[3]Combined Overview'!I28</f>
        <v>0</v>
      </c>
      <c r="E16" s="404">
        <f>'[3]Combined Overview'!J28</f>
        <v>1164</v>
      </c>
      <c r="F16" s="404">
        <f>'[3]Combined Overview'!K28</f>
        <v>4425</v>
      </c>
      <c r="G16" s="404">
        <f>'[3]Combined Overview'!L28</f>
        <v>3240</v>
      </c>
      <c r="H16" s="404">
        <f>'[3]Combined Overview'!M28</f>
        <v>8188</v>
      </c>
      <c r="I16" s="404">
        <f>'[3]Combined Overview'!N28</f>
        <v>5889</v>
      </c>
      <c r="J16" s="404">
        <f>'[3]Combined Overview'!O28</f>
        <v>7053</v>
      </c>
      <c r="K16" s="404">
        <f>'[3]Combined Overview'!P28</f>
        <v>8021</v>
      </c>
      <c r="L16" s="404">
        <f>'[3]Combined Overview'!Q28</f>
        <v>5526</v>
      </c>
      <c r="M16" s="404">
        <f>'[3]Combined Overview'!R28</f>
        <v>3296</v>
      </c>
      <c r="N16" s="404">
        <f>'[3]Combined Overview'!S28</f>
        <v>2132</v>
      </c>
      <c r="O16" s="404">
        <f>'[3]Combined Overview'!T28</f>
        <v>1066</v>
      </c>
      <c r="P16" s="469">
        <f>ROUNDUP(SUM(D16:O16),0)-3300</f>
        <v>46700</v>
      </c>
      <c r="Q16" s="359"/>
      <c r="R16" s="411"/>
      <c r="S16" s="407">
        <v>74063</v>
      </c>
      <c r="T16" s="404">
        <f>'[3]Combined Overview'!X28</f>
        <v>39026.400000000001</v>
      </c>
      <c r="U16" s="404">
        <f>'[4]6-Hm FY21 Budget Variance (P&amp;L)'!G16</f>
        <v>44326.400000000001</v>
      </c>
      <c r="V16" s="404">
        <v>35188</v>
      </c>
    </row>
    <row r="17" spans="1:29" x14ac:dyDescent="0.25">
      <c r="A17" s="402"/>
      <c r="B17" s="403">
        <v>4170</v>
      </c>
      <c r="C17" s="403" t="s">
        <v>275</v>
      </c>
      <c r="D17" s="404">
        <f>'[3]Combined Overview'!I32</f>
        <v>48</v>
      </c>
      <c r="E17" s="404">
        <f>'[3]Combined Overview'!J32</f>
        <v>48</v>
      </c>
      <c r="F17" s="404">
        <f>'[3]Combined Overview'!K32</f>
        <v>48</v>
      </c>
      <c r="G17" s="404">
        <f>'[3]Combined Overview'!L32</f>
        <v>144</v>
      </c>
      <c r="H17" s="404">
        <f>'[3]Combined Overview'!M32</f>
        <v>192</v>
      </c>
      <c r="I17" s="404">
        <f>'[3]Combined Overview'!N32</f>
        <v>1195</v>
      </c>
      <c r="J17" s="404">
        <f>'[3]Combined Overview'!O32</f>
        <v>240</v>
      </c>
      <c r="K17" s="404">
        <f>'[3]Combined Overview'!P32</f>
        <v>240</v>
      </c>
      <c r="L17" s="404">
        <f>'[3]Combined Overview'!Q32</f>
        <v>240</v>
      </c>
      <c r="M17" s="404">
        <f>'[3]Combined Overview'!R32</f>
        <v>240</v>
      </c>
      <c r="N17" s="404">
        <f>'[3]Combined Overview'!S32</f>
        <v>3240</v>
      </c>
      <c r="O17" s="404">
        <f>'[3]Combined Overview'!T32</f>
        <v>2150</v>
      </c>
      <c r="P17" s="469">
        <f>ROUNDUP(SUM(D17:O17),0)+43000</f>
        <v>51025</v>
      </c>
      <c r="Q17" s="359"/>
      <c r="R17" s="411"/>
      <c r="S17" s="407">
        <v>63309</v>
      </c>
      <c r="T17" s="404">
        <f>'[3]Combined Overview'!X32</f>
        <v>85188.39</v>
      </c>
      <c r="U17" s="404">
        <f>'[4]6-Hm FY21 Budget Variance (P&amp;L)'!G17</f>
        <v>89488.39</v>
      </c>
      <c r="V17" s="404">
        <v>140011</v>
      </c>
    </row>
    <row r="18" spans="1:29" x14ac:dyDescent="0.25">
      <c r="A18" s="402"/>
      <c r="B18" s="403" t="s">
        <v>495</v>
      </c>
      <c r="C18" s="403" t="s">
        <v>496</v>
      </c>
      <c r="D18" s="404">
        <f>'[3]Combined Overview'!I34</f>
        <v>0</v>
      </c>
      <c r="E18" s="404">
        <f>'[3]Combined Overview'!J34</f>
        <v>0</v>
      </c>
      <c r="F18" s="404">
        <f>'[3]Combined Overview'!K34</f>
        <v>1500000</v>
      </c>
      <c r="G18" s="404">
        <f>'[3]Combined Overview'!L34</f>
        <v>0</v>
      </c>
      <c r="H18" s="404">
        <f>'[3]Combined Overview'!M34</f>
        <v>0</v>
      </c>
      <c r="I18" s="404">
        <f>'[3]Combined Overview'!N34</f>
        <v>0</v>
      </c>
      <c r="J18" s="404">
        <f>'[3]Combined Overview'!O34</f>
        <v>0</v>
      </c>
      <c r="K18" s="404">
        <f>'[3]Combined Overview'!P34</f>
        <v>0</v>
      </c>
      <c r="L18" s="404">
        <f>'[3]Combined Overview'!Q34</f>
        <v>0</v>
      </c>
      <c r="M18" s="404">
        <f>'[3]Combined Overview'!R34</f>
        <v>0</v>
      </c>
      <c r="N18" s="404">
        <f>'[3]Combined Overview'!S34</f>
        <v>0</v>
      </c>
      <c r="O18" s="404">
        <f>'[3]Combined Overview'!T34</f>
        <v>0</v>
      </c>
      <c r="P18" s="469">
        <f>ROUNDUP(SUM(D18:O18),0)</f>
        <v>1500000</v>
      </c>
      <c r="Q18" s="359" t="s">
        <v>475</v>
      </c>
      <c r="R18" s="411"/>
      <c r="S18" s="407">
        <v>74063</v>
      </c>
      <c r="T18" s="404">
        <f>+'[3]Combined Overview'!$X$34</f>
        <v>83857.17</v>
      </c>
      <c r="U18" s="404">
        <f>'[4]6-Hm FY21 Budget Variance (P&amp;L)'!G18</f>
        <v>83857.17</v>
      </c>
      <c r="V18" s="404">
        <v>0</v>
      </c>
    </row>
    <row r="19" spans="1:29" x14ac:dyDescent="0.25">
      <c r="A19" s="402"/>
      <c r="B19" s="403" t="s">
        <v>497</v>
      </c>
      <c r="C19" s="403" t="s">
        <v>276</v>
      </c>
      <c r="D19" s="404">
        <f>'[3]Combined Overview'!I36</f>
        <v>342000</v>
      </c>
      <c r="E19" s="404">
        <f>'[3]Combined Overview'!J36</f>
        <v>0</v>
      </c>
      <c r="F19" s="404">
        <f>'[3]Combined Overview'!K36</f>
        <v>0</v>
      </c>
      <c r="G19" s="404">
        <f>'[3]Combined Overview'!L36</f>
        <v>0</v>
      </c>
      <c r="H19" s="404">
        <f>'[3]Combined Overview'!M36</f>
        <v>0</v>
      </c>
      <c r="I19" s="404">
        <f>'[3]Combined Overview'!N36</f>
        <v>174000</v>
      </c>
      <c r="J19" s="404">
        <f>'[3]Combined Overview'!O36</f>
        <v>215000</v>
      </c>
      <c r="K19" s="404">
        <f>'[3]Combined Overview'!P36</f>
        <v>0</v>
      </c>
      <c r="L19" s="404">
        <f>'[3]Combined Overview'!Q36</f>
        <v>0</v>
      </c>
      <c r="M19" s="404">
        <f>'[3]Combined Overview'!R36</f>
        <v>0</v>
      </c>
      <c r="N19" s="404">
        <f>'[3]Combined Overview'!S36</f>
        <v>-40000</v>
      </c>
      <c r="O19" s="404">
        <f>'[3]Combined Overview'!T36</f>
        <v>622500</v>
      </c>
      <c r="P19" s="469">
        <f>ROUNDUP(SUM(D19:O19),0)+7000</f>
        <v>1320500</v>
      </c>
      <c r="Q19" s="414"/>
      <c r="R19" s="411">
        <v>-40000</v>
      </c>
      <c r="S19" s="407">
        <v>1715000</v>
      </c>
      <c r="T19" s="404">
        <f>'[3]Combined Overview'!X36</f>
        <v>753976</v>
      </c>
      <c r="U19" s="404">
        <f>'[4]6-Hm FY21 Budget Variance (P&amp;L)'!G19</f>
        <v>1113976</v>
      </c>
      <c r="V19" s="404">
        <v>1029000</v>
      </c>
    </row>
    <row r="20" spans="1:29" hidden="1" x14ac:dyDescent="0.25">
      <c r="A20" s="402"/>
      <c r="B20" s="403" t="s">
        <v>498</v>
      </c>
      <c r="C20" s="403" t="s">
        <v>453</v>
      </c>
      <c r="D20" s="404">
        <f>'[3]Combined Overview'!I37</f>
        <v>2000</v>
      </c>
      <c r="E20" s="404">
        <f>'[3]Combined Overview'!J37</f>
        <v>0</v>
      </c>
      <c r="F20" s="404">
        <f>'[3]Combined Overview'!K37</f>
        <v>0</v>
      </c>
      <c r="G20" s="404">
        <f>'[3]Combined Overview'!L37</f>
        <v>0</v>
      </c>
      <c r="H20" s="404">
        <f>'[3]Combined Overview'!M37</f>
        <v>0</v>
      </c>
      <c r="I20" s="404">
        <f>'[3]Combined Overview'!N37</f>
        <v>1000</v>
      </c>
      <c r="J20" s="404">
        <f>'[3]Combined Overview'!O37</f>
        <v>1000</v>
      </c>
      <c r="K20" s="404">
        <f>'[3]Combined Overview'!P37</f>
        <v>0</v>
      </c>
      <c r="L20" s="404">
        <f>'[3]Combined Overview'!Q37</f>
        <v>2000</v>
      </c>
      <c r="M20" s="404">
        <f>'[3]Combined Overview'!R37</f>
        <v>2000</v>
      </c>
      <c r="N20" s="404">
        <f>'[3]Combined Overview'!S37</f>
        <v>-3000</v>
      </c>
      <c r="O20" s="404">
        <f>'[3]Combined Overview'!T37</f>
        <v>2000</v>
      </c>
      <c r="P20" s="405">
        <f>ROUNDUP(SUM(D20:O20),0)-7000</f>
        <v>0</v>
      </c>
      <c r="Q20" s="359" t="s">
        <v>499</v>
      </c>
      <c r="R20" s="411"/>
      <c r="S20" s="407">
        <v>9000</v>
      </c>
      <c r="T20" s="404">
        <f>'[3]Combined Overview'!X37</f>
        <v>0</v>
      </c>
      <c r="U20" s="404">
        <f>'[4]6-Hm FY21 Budget Variance (P&amp;L)'!G20</f>
        <v>0</v>
      </c>
      <c r="V20" s="404">
        <v>0</v>
      </c>
    </row>
    <row r="21" spans="1:29" x14ac:dyDescent="0.25">
      <c r="A21" s="402"/>
      <c r="B21" s="403">
        <v>4410</v>
      </c>
      <c r="C21" s="403" t="s">
        <v>277</v>
      </c>
      <c r="D21" s="404">
        <f>'[3]Combined Overview'!I39</f>
        <v>145833.33333333334</v>
      </c>
      <c r="E21" s="404">
        <f>'[3]Combined Overview'!J39</f>
        <v>145833.33333333334</v>
      </c>
      <c r="F21" s="404">
        <f>'[3]Combined Overview'!K39</f>
        <v>145833.33333333334</v>
      </c>
      <c r="G21" s="404">
        <f>'[3]Combined Overview'!L39</f>
        <v>145833.33333333334</v>
      </c>
      <c r="H21" s="404">
        <f>'[3]Combined Overview'!M39</f>
        <v>145833.33333333334</v>
      </c>
      <c r="I21" s="404">
        <f>'[3]Combined Overview'!N39</f>
        <v>145833.33333333334</v>
      </c>
      <c r="J21" s="404">
        <f>'[3]Combined Overview'!O39</f>
        <v>145833.33333333334</v>
      </c>
      <c r="K21" s="404">
        <f>'[3]Combined Overview'!P39</f>
        <v>145833.33333333334</v>
      </c>
      <c r="L21" s="404">
        <f>'[3]Combined Overview'!Q39</f>
        <v>187433.33333333334</v>
      </c>
      <c r="M21" s="404">
        <f>'[3]Combined Overview'!R39</f>
        <v>190033.33333333334</v>
      </c>
      <c r="N21" s="404">
        <f>'[3]Combined Overview'!S39</f>
        <v>195333.33333333334</v>
      </c>
      <c r="O21" s="404">
        <f>'[3]Combined Overview'!T39</f>
        <v>69064.333333333343</v>
      </c>
      <c r="P21" s="469">
        <f t="shared" ref="P21:P29" si="0">ROUNDUP(SUM(D21:O21),0)</f>
        <v>1808531</v>
      </c>
      <c r="Q21" s="359" t="s">
        <v>500</v>
      </c>
      <c r="R21" s="406">
        <v>-126169.20000000001</v>
      </c>
      <c r="S21" s="407">
        <v>1766368.8</v>
      </c>
      <c r="T21" s="404">
        <f>'[3]Combined Overview'!X39</f>
        <v>1307662.23</v>
      </c>
      <c r="U21" s="404">
        <f>'[4]6-Hm FY21 Budget Variance (P&amp;L)'!G21</f>
        <v>1489662.23</v>
      </c>
      <c r="V21" s="404">
        <v>1691150</v>
      </c>
    </row>
    <row r="22" spans="1:29" x14ac:dyDescent="0.25">
      <c r="A22" s="402"/>
      <c r="B22" s="403" t="s">
        <v>278</v>
      </c>
      <c r="C22" s="403" t="s">
        <v>279</v>
      </c>
      <c r="D22" s="404">
        <f>'[3]Combined Overview'!I40</f>
        <v>10</v>
      </c>
      <c r="E22" s="404">
        <f>'[3]Combined Overview'!J40</f>
        <v>10</v>
      </c>
      <c r="F22" s="404">
        <f>'[3]Combined Overview'!K40</f>
        <v>10</v>
      </c>
      <c r="G22" s="404">
        <f>'[3]Combined Overview'!L40</f>
        <v>10</v>
      </c>
      <c r="H22" s="404">
        <f>'[3]Combined Overview'!M40</f>
        <v>10</v>
      </c>
      <c r="I22" s="404">
        <f>'[3]Combined Overview'!N40</f>
        <v>10</v>
      </c>
      <c r="J22" s="404">
        <f>'[3]Combined Overview'!O40</f>
        <v>10</v>
      </c>
      <c r="K22" s="404">
        <f>'[3]Combined Overview'!P40</f>
        <v>10</v>
      </c>
      <c r="L22" s="404">
        <f>'[3]Combined Overview'!Q40</f>
        <v>10</v>
      </c>
      <c r="M22" s="404">
        <f>'[3]Combined Overview'!R40</f>
        <v>10</v>
      </c>
      <c r="N22" s="404">
        <f>'[3]Combined Overview'!S40</f>
        <v>10</v>
      </c>
      <c r="O22" s="404">
        <f>'[3]Combined Overview'!T40</f>
        <v>10</v>
      </c>
      <c r="P22" s="469">
        <f t="shared" si="0"/>
        <v>120</v>
      </c>
      <c r="Q22" s="359"/>
      <c r="R22" s="411"/>
      <c r="S22" s="407">
        <v>120</v>
      </c>
      <c r="T22" s="404">
        <f>'[3]Combined Overview'!X40</f>
        <v>-34.869999999999997</v>
      </c>
      <c r="U22" s="404">
        <f>'[4]6-Hm FY21 Budget Variance (P&amp;L)'!G22</f>
        <v>1.1300000000000026</v>
      </c>
      <c r="V22" s="404">
        <v>240</v>
      </c>
    </row>
    <row r="23" spans="1:29" x14ac:dyDescent="0.25">
      <c r="A23" s="402"/>
      <c r="B23" s="403" t="s">
        <v>454</v>
      </c>
      <c r="C23" s="403" t="s">
        <v>455</v>
      </c>
      <c r="D23" s="404">
        <f>'[3]Combined Overview'!I41</f>
        <v>12916.666666666666</v>
      </c>
      <c r="E23" s="404">
        <f>'[3]Combined Overview'!J41</f>
        <v>12916.666666666666</v>
      </c>
      <c r="F23" s="404">
        <f>'[3]Combined Overview'!K41</f>
        <v>12916.666666666666</v>
      </c>
      <c r="G23" s="404">
        <f>'[3]Combined Overview'!L41</f>
        <v>12916.666666666666</v>
      </c>
      <c r="H23" s="404">
        <f>'[3]Combined Overview'!M41</f>
        <v>12916.666666666666</v>
      </c>
      <c r="I23" s="404">
        <f>'[3]Combined Overview'!N41</f>
        <v>12916.666666666666</v>
      </c>
      <c r="J23" s="404">
        <f>'[3]Combined Overview'!O41</f>
        <v>12916.666666666666</v>
      </c>
      <c r="K23" s="404">
        <f>'[3]Combined Overview'!P41</f>
        <v>12916.666666666666</v>
      </c>
      <c r="L23" s="404">
        <f>'[3]Combined Overview'!Q41</f>
        <v>17076.666666666664</v>
      </c>
      <c r="M23" s="404">
        <f>'[3]Combined Overview'!R41</f>
        <v>17336.666666666664</v>
      </c>
      <c r="N23" s="404">
        <f>'[3]Combined Overview'!S41</f>
        <v>17866.666666666664</v>
      </c>
      <c r="O23" s="404">
        <f>'[3]Combined Overview'!T41</f>
        <v>17856.666666666664</v>
      </c>
      <c r="P23" s="469">
        <f t="shared" si="0"/>
        <v>173470</v>
      </c>
      <c r="Q23" s="415"/>
      <c r="R23" s="411"/>
      <c r="S23" s="407">
        <v>155000</v>
      </c>
      <c r="T23" s="404">
        <f>'[3]Combined Overview'!X41</f>
        <v>120454.06</v>
      </c>
      <c r="U23" s="404">
        <f>'[4]6-Hm FY21 Budget Variance (P&amp;L)'!G23</f>
        <v>140454.06</v>
      </c>
      <c r="V23" s="404">
        <v>154250</v>
      </c>
    </row>
    <row r="24" spans="1:29" x14ac:dyDescent="0.25">
      <c r="A24" s="402"/>
      <c r="B24" s="403" t="s">
        <v>456</v>
      </c>
      <c r="C24" s="403" t="s">
        <v>457</v>
      </c>
      <c r="D24" s="404">
        <f>'[3]Combined Overview'!I42</f>
        <v>5000</v>
      </c>
      <c r="E24" s="404">
        <f>'[3]Combined Overview'!J42</f>
        <v>5000</v>
      </c>
      <c r="F24" s="404">
        <f>'[3]Combined Overview'!K42</f>
        <v>5000</v>
      </c>
      <c r="G24" s="404">
        <f>'[3]Combined Overview'!L42</f>
        <v>5000</v>
      </c>
      <c r="H24" s="404">
        <f>'[3]Combined Overview'!M42</f>
        <v>5000</v>
      </c>
      <c r="I24" s="404">
        <f>'[3]Combined Overview'!N42</f>
        <v>5000</v>
      </c>
      <c r="J24" s="404">
        <f>'[3]Combined Overview'!O42</f>
        <v>5000</v>
      </c>
      <c r="K24" s="404">
        <f>'[3]Combined Overview'!P42</f>
        <v>5000</v>
      </c>
      <c r="L24" s="404">
        <f>'[3]Combined Overview'!Q42</f>
        <v>5457.6</v>
      </c>
      <c r="M24" s="404">
        <f>'[3]Combined Overview'!R42</f>
        <v>5486.2</v>
      </c>
      <c r="N24" s="404">
        <f>'[3]Combined Overview'!S42</f>
        <v>5544.5</v>
      </c>
      <c r="O24" s="404">
        <f>'[3]Combined Overview'!T42</f>
        <v>5543.4</v>
      </c>
      <c r="P24" s="469">
        <f t="shared" si="0"/>
        <v>62032</v>
      </c>
      <c r="Q24" s="415"/>
      <c r="R24" s="411"/>
      <c r="S24" s="407">
        <v>60000</v>
      </c>
      <c r="T24" s="404">
        <f>'[3]Combined Overview'!X42</f>
        <v>42105</v>
      </c>
      <c r="U24" s="404">
        <f>'[4]6-Hm FY21 Budget Variance (P&amp;L)'!G24</f>
        <v>46105</v>
      </c>
      <c r="V24" s="404">
        <v>59500</v>
      </c>
    </row>
    <row r="25" spans="1:29" x14ac:dyDescent="0.25">
      <c r="A25" s="402"/>
      <c r="B25" s="403">
        <v>4451</v>
      </c>
      <c r="C25" s="403" t="s">
        <v>280</v>
      </c>
      <c r="D25" s="404">
        <f>'[3]Combined Overview'!I43</f>
        <v>1833.3333333333333</v>
      </c>
      <c r="E25" s="404">
        <f>'[3]Combined Overview'!J43</f>
        <v>1833.3333333333333</v>
      </c>
      <c r="F25" s="404">
        <f>'[3]Combined Overview'!K43</f>
        <v>1833.3333333333333</v>
      </c>
      <c r="G25" s="404">
        <f>'[3]Combined Overview'!L43</f>
        <v>1833.3333333333333</v>
      </c>
      <c r="H25" s="404">
        <f>'[3]Combined Overview'!M43</f>
        <v>1833.3333333333333</v>
      </c>
      <c r="I25" s="404">
        <f>'[3]Combined Overview'!N43</f>
        <v>1833.3333333333333</v>
      </c>
      <c r="J25" s="404">
        <f>'[3]Combined Overview'!O43</f>
        <v>1833.3333333333333</v>
      </c>
      <c r="K25" s="404">
        <f>'[3]Combined Overview'!P43</f>
        <v>1833.3333333333333</v>
      </c>
      <c r="L25" s="404">
        <f>'[3]Combined Overview'!Q43</f>
        <v>2155.083333333333</v>
      </c>
      <c r="M25" s="404">
        <f>'[3]Combined Overview'!R43</f>
        <v>2197.9833333333331</v>
      </c>
      <c r="N25" s="404">
        <f>'[3]Combined Overview'!S43</f>
        <v>2264.395833333333</v>
      </c>
      <c r="O25" s="404">
        <f>'[3]Combined Overview'!T43</f>
        <v>2283.7833333333333</v>
      </c>
      <c r="P25" s="469">
        <f t="shared" si="0"/>
        <v>23568</v>
      </c>
      <c r="Q25" s="415"/>
      <c r="R25" s="411"/>
      <c r="S25" s="407">
        <v>23568</v>
      </c>
      <c r="T25" s="404">
        <f>'[3]Combined Overview'!X43</f>
        <v>17727.509999999998</v>
      </c>
      <c r="U25" s="404">
        <f>'[4]6-Hm FY21 Budget Variance (P&amp;L)'!G25</f>
        <v>20327.509999999998</v>
      </c>
      <c r="V25" s="404">
        <v>13750</v>
      </c>
      <c r="X25" s="416"/>
      <c r="Y25" s="416"/>
    </row>
    <row r="26" spans="1:29" x14ac:dyDescent="0.25">
      <c r="A26" s="402"/>
      <c r="B26" s="403">
        <v>4520</v>
      </c>
      <c r="C26" s="403" t="s">
        <v>281</v>
      </c>
      <c r="D26" s="404">
        <f>'[3]Combined Overview'!I44</f>
        <v>2500</v>
      </c>
      <c r="E26" s="404">
        <f>'[3]Combined Overview'!J44</f>
        <v>2500</v>
      </c>
      <c r="F26" s="404">
        <f>'[3]Combined Overview'!K44</f>
        <v>2500</v>
      </c>
      <c r="G26" s="404">
        <f>'[3]Combined Overview'!L44</f>
        <v>2500</v>
      </c>
      <c r="H26" s="404">
        <f>'[3]Combined Overview'!M44</f>
        <v>2500</v>
      </c>
      <c r="I26" s="404">
        <f>'[3]Combined Overview'!N44</f>
        <v>2500</v>
      </c>
      <c r="J26" s="404">
        <f>'[3]Combined Overview'!O44</f>
        <v>2500</v>
      </c>
      <c r="K26" s="404">
        <f>'[3]Combined Overview'!P44</f>
        <v>2500</v>
      </c>
      <c r="L26" s="404">
        <f>'[3]Combined Overview'!Q44</f>
        <v>2700</v>
      </c>
      <c r="M26" s="404">
        <f>'[3]Combined Overview'!R44</f>
        <v>2700</v>
      </c>
      <c r="N26" s="404">
        <f>'[3]Combined Overview'!S44</f>
        <v>2700</v>
      </c>
      <c r="O26" s="404">
        <f>'[3]Combined Overview'!T44</f>
        <v>2750</v>
      </c>
      <c r="P26" s="469">
        <f t="shared" si="0"/>
        <v>30850</v>
      </c>
      <c r="Q26" s="415"/>
      <c r="R26" s="411"/>
      <c r="S26" s="407">
        <v>30850</v>
      </c>
      <c r="T26" s="404">
        <f>'[3]Combined Overview'!X44</f>
        <v>17721.2</v>
      </c>
      <c r="U26" s="404">
        <f>'[4]6-Hm FY21 Budget Variance (P&amp;L)'!G26</f>
        <v>20346.2</v>
      </c>
      <c r="V26" s="404">
        <v>37350</v>
      </c>
    </row>
    <row r="27" spans="1:29" x14ac:dyDescent="0.25">
      <c r="A27" s="402"/>
      <c r="B27" s="403">
        <v>4505</v>
      </c>
      <c r="C27" s="403" t="s">
        <v>282</v>
      </c>
      <c r="D27" s="404">
        <f>'[3]Combined Overview'!I47</f>
        <v>15000</v>
      </c>
      <c r="E27" s="404">
        <f>'[3]Combined Overview'!J47</f>
        <v>15000</v>
      </c>
      <c r="F27" s="404">
        <f>'[3]Combined Overview'!K47</f>
        <v>15000</v>
      </c>
      <c r="G27" s="404">
        <f>'[3]Combined Overview'!L47</f>
        <v>15000</v>
      </c>
      <c r="H27" s="404">
        <f>'[3]Combined Overview'!M47</f>
        <v>15000</v>
      </c>
      <c r="I27" s="404">
        <f>'[3]Combined Overview'!N47</f>
        <v>15000</v>
      </c>
      <c r="J27" s="404">
        <f>'[3]Combined Overview'!O47</f>
        <v>15000</v>
      </c>
      <c r="K27" s="404">
        <f>'[3]Combined Overview'!P47</f>
        <v>15000</v>
      </c>
      <c r="L27" s="404">
        <f>'[3]Combined Overview'!Q47</f>
        <v>15000</v>
      </c>
      <c r="M27" s="404">
        <f>'[3]Combined Overview'!R47</f>
        <v>15000</v>
      </c>
      <c r="N27" s="404">
        <f>'[3]Combined Overview'!S47</f>
        <v>15000</v>
      </c>
      <c r="O27" s="404">
        <f>'[3]Combined Overview'!T47</f>
        <v>95000</v>
      </c>
      <c r="P27" s="469">
        <f t="shared" si="0"/>
        <v>260000</v>
      </c>
      <c r="Q27" s="415"/>
      <c r="R27" s="411"/>
      <c r="S27" s="407">
        <v>192000</v>
      </c>
      <c r="T27" s="404">
        <f>'[3]Combined Overview'!X47</f>
        <v>195641.05</v>
      </c>
      <c r="U27" s="404">
        <f>'[4]6-Hm FY21 Budget Variance (P&amp;L)'!G27</f>
        <v>228641.05</v>
      </c>
      <c r="V27" s="404">
        <v>184500</v>
      </c>
      <c r="Z27" s="417"/>
    </row>
    <row r="28" spans="1:29" x14ac:dyDescent="0.25">
      <c r="B28" s="418">
        <v>4518</v>
      </c>
      <c r="C28" s="418" t="s">
        <v>283</v>
      </c>
      <c r="D28" s="419">
        <f>'[3]Combined Overview'!I49</f>
        <v>0</v>
      </c>
      <c r="E28" s="419">
        <f>'[3]Combined Overview'!J49</f>
        <v>0</v>
      </c>
      <c r="F28" s="419">
        <f>'[3]Combined Overview'!K49</f>
        <v>0</v>
      </c>
      <c r="G28" s="419">
        <f>'[3]Combined Overview'!L49</f>
        <v>0</v>
      </c>
      <c r="H28" s="419">
        <f>'[3]Combined Overview'!M49</f>
        <v>0</v>
      </c>
      <c r="I28" s="419">
        <f>'[3]Combined Overview'!N49</f>
        <v>0</v>
      </c>
      <c r="J28" s="419">
        <f>'[3]Combined Overview'!O49</f>
        <v>0</v>
      </c>
      <c r="K28" s="419">
        <f>'[3]Combined Overview'!P49</f>
        <v>0</v>
      </c>
      <c r="L28" s="419">
        <f>'[3]Combined Overview'!Q49</f>
        <v>0</v>
      </c>
      <c r="M28" s="419">
        <f>'[3]Combined Overview'!R49</f>
        <v>0</v>
      </c>
      <c r="N28" s="419">
        <f>'[3]Combined Overview'!S49</f>
        <v>0</v>
      </c>
      <c r="O28" s="419">
        <f>'[3]Combined Overview'!T49</f>
        <v>0</v>
      </c>
      <c r="P28" s="412">
        <f t="shared" si="0"/>
        <v>0</v>
      </c>
      <c r="Q28" s="420"/>
      <c r="R28" s="411"/>
      <c r="S28" s="407">
        <v>0</v>
      </c>
      <c r="T28" s="404">
        <f>'[3]Combined Overview'!X49</f>
        <v>2218</v>
      </c>
      <c r="U28" s="404">
        <f>'[4]6-Hm FY21 Budget Variance (P&amp;L)'!G28</f>
        <v>2218</v>
      </c>
      <c r="V28" s="404">
        <v>7500</v>
      </c>
      <c r="AB28" s="453"/>
      <c r="AC28" s="453"/>
    </row>
    <row r="29" spans="1:29" x14ac:dyDescent="0.25">
      <c r="B29" s="418">
        <v>4525</v>
      </c>
      <c r="C29" s="418" t="s">
        <v>501</v>
      </c>
      <c r="D29" s="419">
        <f>'[3]Combined Overview'!I50</f>
        <v>0</v>
      </c>
      <c r="E29" s="419">
        <f>'[3]Combined Overview'!J50</f>
        <v>0</v>
      </c>
      <c r="F29" s="419">
        <f>'[3]Combined Overview'!K50</f>
        <v>0</v>
      </c>
      <c r="G29" s="419">
        <f>'[3]Combined Overview'!L50</f>
        <v>0</v>
      </c>
      <c r="H29" s="419">
        <f>'[3]Combined Overview'!M50</f>
        <v>0</v>
      </c>
      <c r="I29" s="419">
        <f>'[3]Combined Overview'!N50</f>
        <v>3500</v>
      </c>
      <c r="J29" s="419">
        <f>'[3]Combined Overview'!O50</f>
        <v>0</v>
      </c>
      <c r="K29" s="419">
        <f>'[3]Combined Overview'!P50</f>
        <v>0</v>
      </c>
      <c r="L29" s="419">
        <f>'[3]Combined Overview'!Q50</f>
        <v>0</v>
      </c>
      <c r="M29" s="419">
        <f>'[3]Combined Overview'!R50</f>
        <v>0</v>
      </c>
      <c r="N29" s="419">
        <f>'[3]Combined Overview'!S50</f>
        <v>0</v>
      </c>
      <c r="O29" s="419">
        <f>'[3]Combined Overview'!T50</f>
        <v>0</v>
      </c>
      <c r="P29" s="469">
        <f t="shared" si="0"/>
        <v>3500</v>
      </c>
      <c r="Q29" s="420"/>
      <c r="R29" s="411"/>
      <c r="S29" s="407">
        <v>3500</v>
      </c>
      <c r="T29" s="404">
        <f>'[3]Combined Overview'!X50</f>
        <v>15846.94</v>
      </c>
      <c r="U29" s="404">
        <f>'[4]6-Hm FY21 Budget Variance (P&amp;L)'!G29</f>
        <v>15846.94</v>
      </c>
      <c r="V29" s="404">
        <v>0</v>
      </c>
      <c r="AB29" s="453"/>
      <c r="AC29" s="453" t="s">
        <v>533</v>
      </c>
    </row>
    <row r="30" spans="1:29" x14ac:dyDescent="0.25">
      <c r="B30" s="418">
        <v>4526</v>
      </c>
      <c r="C30" s="418" t="s">
        <v>502</v>
      </c>
      <c r="D30" s="419"/>
      <c r="E30" s="419"/>
      <c r="F30" s="419"/>
      <c r="G30" s="419"/>
      <c r="H30" s="419"/>
      <c r="I30" s="419"/>
      <c r="J30" s="419"/>
      <c r="K30" s="419"/>
      <c r="L30" s="419"/>
      <c r="M30" s="419"/>
      <c r="N30" s="419"/>
      <c r="O30" s="419"/>
      <c r="P30" s="405">
        <v>0</v>
      </c>
      <c r="Q30" s="420"/>
      <c r="R30" s="411"/>
      <c r="S30" s="407"/>
      <c r="T30" s="404">
        <f>+'[3]Combined Overview'!$X$51</f>
        <v>4265.99</v>
      </c>
      <c r="U30" s="404">
        <f>'[4]6-Hm FY21 Budget Variance (P&amp;L)'!G30</f>
        <v>5534.99</v>
      </c>
      <c r="V30" s="404"/>
      <c r="AB30" s="453">
        <v>4020</v>
      </c>
      <c r="AC30" s="453">
        <v>-22500</v>
      </c>
    </row>
    <row r="31" spans="1:29" x14ac:dyDescent="0.25">
      <c r="A31" s="402"/>
      <c r="B31" s="403">
        <v>4530</v>
      </c>
      <c r="C31" s="403" t="s">
        <v>284</v>
      </c>
      <c r="D31" s="404">
        <f>'[3]Combined Overview'!I52</f>
        <v>25</v>
      </c>
      <c r="E31" s="404">
        <f>'[3]Combined Overview'!J52</f>
        <v>25</v>
      </c>
      <c r="F31" s="404">
        <f>'[3]Combined Overview'!K52</f>
        <v>25</v>
      </c>
      <c r="G31" s="404">
        <f>'[3]Combined Overview'!L52</f>
        <v>25</v>
      </c>
      <c r="H31" s="404">
        <f>'[3]Combined Overview'!M52</f>
        <v>0</v>
      </c>
      <c r="I31" s="404">
        <f>'[3]Combined Overview'!N52</f>
        <v>0</v>
      </c>
      <c r="J31" s="404">
        <f>'[3]Combined Overview'!O52</f>
        <v>825</v>
      </c>
      <c r="K31" s="404">
        <f>'[3]Combined Overview'!P52</f>
        <v>0</v>
      </c>
      <c r="L31" s="404">
        <f>'[3]Combined Overview'!Q52</f>
        <v>0</v>
      </c>
      <c r="M31" s="404">
        <f>'[3]Combined Overview'!R52</f>
        <v>0</v>
      </c>
      <c r="N31" s="404">
        <f>'[3]Combined Overview'!S52</f>
        <v>25</v>
      </c>
      <c r="O31" s="404">
        <f>'[3]Combined Overview'!T52</f>
        <v>25</v>
      </c>
      <c r="P31" s="469">
        <f>ROUNDUP(SUM(D31:O31),0)</f>
        <v>975</v>
      </c>
      <c r="Q31" s="415"/>
      <c r="R31" s="411"/>
      <c r="S31" s="407">
        <v>975</v>
      </c>
      <c r="T31" s="404">
        <f>'[3]Combined Overview'!X52</f>
        <v>975</v>
      </c>
      <c r="U31" s="404">
        <f>'[4]6-Hm FY21 Budget Variance (P&amp;L)'!G31</f>
        <v>975</v>
      </c>
      <c r="V31" s="404">
        <v>1050</v>
      </c>
      <c r="X31" s="421"/>
      <c r="Y31" s="421"/>
      <c r="AA31" s="421"/>
      <c r="AB31" s="453">
        <v>4030</v>
      </c>
      <c r="AC31" s="453">
        <v>-3343.5</v>
      </c>
    </row>
    <row r="32" spans="1:29" x14ac:dyDescent="0.25">
      <c r="A32" s="402"/>
      <c r="B32" s="403">
        <v>4550</v>
      </c>
      <c r="C32" s="403" t="s">
        <v>285</v>
      </c>
      <c r="D32" s="404">
        <f>'[3]Combined Overview'!I53</f>
        <v>80</v>
      </c>
      <c r="E32" s="404">
        <f>'[3]Combined Overview'!J53</f>
        <v>80</v>
      </c>
      <c r="F32" s="404">
        <f>'[3]Combined Overview'!K53</f>
        <v>80</v>
      </c>
      <c r="G32" s="404">
        <f>'[3]Combined Overview'!L53</f>
        <v>80</v>
      </c>
      <c r="H32" s="404">
        <f>'[3]Combined Overview'!M53</f>
        <v>80</v>
      </c>
      <c r="I32" s="404">
        <f>'[3]Combined Overview'!N53</f>
        <v>80</v>
      </c>
      <c r="J32" s="404">
        <f>'[3]Combined Overview'!O53</f>
        <v>80</v>
      </c>
      <c r="K32" s="404">
        <f>'[3]Combined Overview'!P53</f>
        <v>80</v>
      </c>
      <c r="L32" s="404">
        <f>'[3]Combined Overview'!Q53</f>
        <v>80</v>
      </c>
      <c r="M32" s="404">
        <f>'[3]Combined Overview'!R53</f>
        <v>80</v>
      </c>
      <c r="N32" s="404">
        <f>'[3]Combined Overview'!S53</f>
        <v>80</v>
      </c>
      <c r="O32" s="404">
        <f>'[3]Combined Overview'!T53</f>
        <v>80</v>
      </c>
      <c r="P32" s="469">
        <f>ROUNDUP(SUM(D32:O32),0)</f>
        <v>960</v>
      </c>
      <c r="Q32" s="415"/>
      <c r="R32" s="411"/>
      <c r="S32" s="407">
        <v>960</v>
      </c>
      <c r="T32" s="404">
        <f>'[3]Combined Overview'!X53</f>
        <v>847.09</v>
      </c>
      <c r="U32" s="404">
        <f>'[4]6-Hm FY21 Budget Variance (P&amp;L)'!G32</f>
        <v>987.09</v>
      </c>
      <c r="V32" s="404">
        <v>840</v>
      </c>
      <c r="X32" s="422"/>
      <c r="Y32" s="422"/>
      <c r="AA32" s="422"/>
      <c r="AB32" s="453">
        <v>4010</v>
      </c>
      <c r="AC32" s="453">
        <v>-1500</v>
      </c>
    </row>
    <row r="33" spans="1:29" x14ac:dyDescent="0.25">
      <c r="A33" s="402"/>
      <c r="B33" s="403" t="s">
        <v>286</v>
      </c>
      <c r="C33" s="403" t="s">
        <v>287</v>
      </c>
      <c r="D33" s="404">
        <f>'[3]Combined Overview'!I56</f>
        <v>1244.0489285714286</v>
      </c>
      <c r="E33" s="404">
        <f>'[3]Combined Overview'!J56</f>
        <v>1244.0489285714286</v>
      </c>
      <c r="F33" s="404">
        <f>'[3]Combined Overview'!K56</f>
        <v>1244.0489285714286</v>
      </c>
      <c r="G33" s="404">
        <f>'[3]Combined Overview'!L56</f>
        <v>1244.0489285714286</v>
      </c>
      <c r="H33" s="404">
        <f>'[3]Combined Overview'!M56</f>
        <v>1244.0489285714286</v>
      </c>
      <c r="I33" s="404">
        <f>'[3]Combined Overview'!N56</f>
        <v>1244.0489285714286</v>
      </c>
      <c r="J33" s="404">
        <f>'[3]Combined Overview'!O56</f>
        <v>1244.0489285714286</v>
      </c>
      <c r="K33" s="404">
        <f>'[3]Combined Overview'!P56</f>
        <v>1244.0489285714286</v>
      </c>
      <c r="L33" s="404">
        <f>'[3]Combined Overview'!Q56</f>
        <v>1244.0489285714286</v>
      </c>
      <c r="M33" s="404">
        <f>'[3]Combined Overview'!R56</f>
        <v>1244.0489285714286</v>
      </c>
      <c r="N33" s="404">
        <f>'[3]Combined Overview'!S56</f>
        <v>1244.0489285714286</v>
      </c>
      <c r="O33" s="404">
        <f>'[3]Combined Overview'!T56</f>
        <v>1244.0489285714286</v>
      </c>
      <c r="P33" s="469">
        <f>ROUNDUP(SUM(D33:O33),0)</f>
        <v>14929</v>
      </c>
      <c r="Q33" s="420"/>
      <c r="R33" s="411"/>
      <c r="S33" s="407">
        <v>14929</v>
      </c>
      <c r="T33" s="404">
        <f>'[3]Combined Overview'!X56</f>
        <v>37436.15</v>
      </c>
      <c r="U33" s="404">
        <f>'[4]6-Hm FY21 Budget Variance (P&amp;L)'!G33</f>
        <v>42436.15</v>
      </c>
      <c r="V33" s="404">
        <v>20000</v>
      </c>
      <c r="X33" s="421"/>
      <c r="Y33" s="421"/>
      <c r="AA33" s="422"/>
      <c r="AB33" s="453">
        <v>4020</v>
      </c>
      <c r="AC33" s="453">
        <v>-1500</v>
      </c>
    </row>
    <row r="34" spans="1:29" x14ac:dyDescent="0.25">
      <c r="A34" s="402"/>
      <c r="B34" s="403">
        <v>4615</v>
      </c>
      <c r="C34" s="403" t="s">
        <v>288</v>
      </c>
      <c r="D34" s="404">
        <f>'[3]Combined Overview'!I57</f>
        <v>541.63607142857154</v>
      </c>
      <c r="E34" s="404">
        <f>'[3]Combined Overview'!J57</f>
        <v>541.63607142857154</v>
      </c>
      <c r="F34" s="404">
        <f>'[3]Combined Overview'!K57</f>
        <v>541.63607142857154</v>
      </c>
      <c r="G34" s="404">
        <f>'[3]Combined Overview'!L57</f>
        <v>541.63607142857154</v>
      </c>
      <c r="H34" s="404">
        <f>'[3]Combined Overview'!M57</f>
        <v>541.63607142857154</v>
      </c>
      <c r="I34" s="404">
        <f>'[3]Combined Overview'!N57</f>
        <v>541.63607142857154</v>
      </c>
      <c r="J34" s="404">
        <f>'[3]Combined Overview'!O57</f>
        <v>541.63607142857154</v>
      </c>
      <c r="K34" s="404">
        <f>'[3]Combined Overview'!P57</f>
        <v>541.63607142857154</v>
      </c>
      <c r="L34" s="404">
        <f>'[3]Combined Overview'!Q57</f>
        <v>541.63607142857154</v>
      </c>
      <c r="M34" s="404">
        <f>'[3]Combined Overview'!R57</f>
        <v>541.63607142857154</v>
      </c>
      <c r="N34" s="404">
        <f>'[3]Combined Overview'!S57</f>
        <v>541.63607142857154</v>
      </c>
      <c r="O34" s="404">
        <f>'[3]Combined Overview'!T57</f>
        <v>541.63607142857154</v>
      </c>
      <c r="P34" s="469">
        <f>ROUNDUP(SUM(D34:O34),0)</f>
        <v>6500</v>
      </c>
      <c r="Q34" s="415"/>
      <c r="R34" s="411"/>
      <c r="S34" s="407">
        <v>6500</v>
      </c>
      <c r="T34" s="404">
        <f>'[3]Combined Overview'!X57</f>
        <v>14726.02</v>
      </c>
      <c r="U34" s="404">
        <f>'[4]6-Hm FY21 Budget Variance (P&amp;L)'!G34</f>
        <v>15726.02</v>
      </c>
      <c r="V34" s="404">
        <v>13000</v>
      </c>
      <c r="X34" s="422"/>
      <c r="Y34" s="422"/>
      <c r="AB34" s="453">
        <v>4170</v>
      </c>
      <c r="AC34" s="453">
        <v>43000</v>
      </c>
    </row>
    <row r="35" spans="1:29" x14ac:dyDescent="0.25">
      <c r="A35" s="402"/>
      <c r="B35" s="403" t="s">
        <v>503</v>
      </c>
      <c r="C35" s="403" t="s">
        <v>504</v>
      </c>
      <c r="D35" s="404">
        <f>'[3]Combined Overview'!I62</f>
        <v>180000</v>
      </c>
      <c r="E35" s="404">
        <f>'[3]Combined Overview'!J62</f>
        <v>0</v>
      </c>
      <c r="F35" s="404">
        <f>'[3]Combined Overview'!K62</f>
        <v>0</v>
      </c>
      <c r="G35" s="404">
        <f>'[3]Combined Overview'!L62</f>
        <v>0</v>
      </c>
      <c r="H35" s="404">
        <f>'[3]Combined Overview'!M62</f>
        <v>0</v>
      </c>
      <c r="I35" s="404">
        <f>'[3]Combined Overview'!N62</f>
        <v>0</v>
      </c>
      <c r="J35" s="404">
        <f>'[3]Combined Overview'!O62</f>
        <v>0</v>
      </c>
      <c r="K35" s="404">
        <f>'[3]Combined Overview'!P62</f>
        <v>0</v>
      </c>
      <c r="L35" s="404">
        <f>'[3]Combined Overview'!Q62</f>
        <v>0</v>
      </c>
      <c r="M35" s="404">
        <f>'[3]Combined Overview'!R62</f>
        <v>0</v>
      </c>
      <c r="N35" s="404">
        <f>'[3]Combined Overview'!S62</f>
        <v>0</v>
      </c>
      <c r="O35" s="404">
        <f>'[3]Combined Overview'!T62</f>
        <v>0</v>
      </c>
      <c r="P35" s="423">
        <f>ROUNDUP(SUM(D35:O35),0)</f>
        <v>180000</v>
      </c>
      <c r="Q35" s="424" t="s">
        <v>505</v>
      </c>
      <c r="R35" s="411">
        <v>100000</v>
      </c>
      <c r="S35" s="407">
        <v>230000</v>
      </c>
      <c r="T35" s="404">
        <f>'[3]Combined Overview'!X62</f>
        <v>233306.07</v>
      </c>
      <c r="U35" s="404">
        <f>'[4]6-Hm FY21 Budget Variance (P&amp;L)'!G35</f>
        <v>233306.07</v>
      </c>
      <c r="V35" s="404">
        <v>0</v>
      </c>
      <c r="AB35" s="453">
        <v>4140</v>
      </c>
      <c r="AC35" s="453">
        <v>-3300</v>
      </c>
    </row>
    <row r="36" spans="1:29" x14ac:dyDescent="0.25">
      <c r="A36" s="402"/>
      <c r="B36" s="425" t="s">
        <v>12</v>
      </c>
      <c r="C36" s="425" t="s">
        <v>506</v>
      </c>
      <c r="D36" s="426"/>
      <c r="E36" s="426"/>
      <c r="F36" s="426"/>
      <c r="G36" s="426"/>
      <c r="H36" s="426"/>
      <c r="I36" s="426"/>
      <c r="J36" s="426"/>
      <c r="K36" s="426"/>
      <c r="L36" s="426"/>
      <c r="M36" s="426"/>
      <c r="N36" s="426"/>
      <c r="O36" s="426"/>
      <c r="P36" s="427"/>
      <c r="Q36" s="428"/>
      <c r="R36" s="427"/>
      <c r="S36" s="427"/>
      <c r="T36" s="427">
        <f>+'[4]April P&amp;L'!$O$61</f>
        <v>-52239.68</v>
      </c>
      <c r="U36" s="427">
        <f>+'[4]6-Hm FY21 Budget Variance (P&amp;L)'!$G$37+1000</f>
        <v>-52239.68</v>
      </c>
      <c r="V36" s="404"/>
      <c r="AB36" s="453"/>
      <c r="AC36" s="453"/>
    </row>
    <row r="37" spans="1:29" x14ac:dyDescent="0.25">
      <c r="A37" s="402"/>
      <c r="B37" s="403">
        <v>4638</v>
      </c>
      <c r="C37" s="403" t="s">
        <v>289</v>
      </c>
      <c r="D37" s="404">
        <f>'[3]Combined Overview'!I64</f>
        <v>0</v>
      </c>
      <c r="E37" s="404">
        <f>'[3]Combined Overview'!J64</f>
        <v>75000</v>
      </c>
      <c r="F37" s="404">
        <f>'[3]Combined Overview'!K64</f>
        <v>0</v>
      </c>
      <c r="G37" s="404">
        <f>'[3]Combined Overview'!L64</f>
        <v>0</v>
      </c>
      <c r="H37" s="404">
        <f>'[3]Combined Overview'!M64</f>
        <v>0</v>
      </c>
      <c r="I37" s="404">
        <f>'[3]Combined Overview'!N64</f>
        <v>0</v>
      </c>
      <c r="J37" s="404">
        <f>'[3]Combined Overview'!O64</f>
        <v>0</v>
      </c>
      <c r="K37" s="404">
        <f>'[3]Combined Overview'!P64</f>
        <v>0</v>
      </c>
      <c r="L37" s="404">
        <f>'[3]Combined Overview'!Q64</f>
        <v>0</v>
      </c>
      <c r="M37" s="404">
        <f>'[3]Combined Overview'!R64</f>
        <v>0</v>
      </c>
      <c r="N37" s="404">
        <f>'[3]Combined Overview'!S64</f>
        <v>0</v>
      </c>
      <c r="O37" s="404">
        <f>'[3]Combined Overview'!T64</f>
        <v>0</v>
      </c>
      <c r="P37" s="469">
        <f>ROUNDUP(SUM(D37:O37),0)</f>
        <v>75000</v>
      </c>
      <c r="Q37" s="420"/>
      <c r="R37" s="411"/>
      <c r="S37" s="407">
        <v>75000</v>
      </c>
      <c r="T37" s="404">
        <f>'[3]Combined Overview'!X64</f>
        <v>122512.47</v>
      </c>
      <c r="U37" s="404">
        <f>'[4]6-Hm FY21 Budget Variance (P&amp;L)'!G36</f>
        <v>122512.47</v>
      </c>
      <c r="V37" s="404">
        <v>60000</v>
      </c>
      <c r="AB37" s="453"/>
      <c r="AC37" s="453">
        <f>SUM(AC30:AC36)</f>
        <v>10856.5</v>
      </c>
    </row>
    <row r="38" spans="1:29" x14ac:dyDescent="0.25">
      <c r="B38" s="429" t="s">
        <v>13</v>
      </c>
      <c r="C38" s="429"/>
      <c r="D38" s="430">
        <f t="shared" ref="D38:P38" si="1">ROUNDUP(SUM(D5:D37),0)</f>
        <v>714508</v>
      </c>
      <c r="E38" s="430">
        <f t="shared" si="1"/>
        <v>294472</v>
      </c>
      <c r="F38" s="430">
        <f t="shared" si="1"/>
        <v>1723293</v>
      </c>
      <c r="G38" s="430">
        <f t="shared" si="1"/>
        <v>294169</v>
      </c>
      <c r="H38" s="430">
        <f t="shared" si="1"/>
        <v>244605</v>
      </c>
      <c r="I38" s="430">
        <f t="shared" si="1"/>
        <v>509164</v>
      </c>
      <c r="J38" s="430">
        <f t="shared" si="1"/>
        <v>452558</v>
      </c>
      <c r="K38" s="430">
        <f t="shared" si="1"/>
        <v>223216</v>
      </c>
      <c r="L38" s="430">
        <f t="shared" si="1"/>
        <v>280710</v>
      </c>
      <c r="M38" s="430">
        <f t="shared" si="1"/>
        <v>317101</v>
      </c>
      <c r="N38" s="430">
        <f t="shared" si="1"/>
        <v>542260</v>
      </c>
      <c r="O38" s="430">
        <f t="shared" si="1"/>
        <v>1036738</v>
      </c>
      <c r="P38" s="430">
        <f t="shared" si="1"/>
        <v>6643643</v>
      </c>
      <c r="Q38" s="431"/>
      <c r="R38" s="430">
        <v>3253.7999999999884</v>
      </c>
      <c r="S38" s="430">
        <v>5276065.8</v>
      </c>
      <c r="T38" s="430">
        <f>SUM(T5:T37)</f>
        <v>3863022.7499999995</v>
      </c>
      <c r="U38" s="430">
        <f>SUM(U5:U37)</f>
        <v>4595756.75</v>
      </c>
      <c r="V38" s="430">
        <f>SUM(V5:V37)</f>
        <v>4499479</v>
      </c>
      <c r="AB38" s="453"/>
      <c r="AC38" s="453"/>
    </row>
    <row r="39" spans="1:29" x14ac:dyDescent="0.25">
      <c r="B39" s="432"/>
      <c r="C39" s="432"/>
      <c r="D39" s="433"/>
      <c r="E39" s="433"/>
      <c r="F39" s="433"/>
      <c r="G39" s="433"/>
      <c r="H39" s="433"/>
      <c r="I39" s="433"/>
      <c r="J39" s="433"/>
      <c r="K39" s="433"/>
      <c r="L39" s="433"/>
      <c r="M39" s="433"/>
      <c r="N39" s="433"/>
      <c r="O39" s="433"/>
      <c r="P39" s="421">
        <f>+P38-'[3]Combined Overview'!$U$67</f>
        <v>10858.167500000447</v>
      </c>
      <c r="Q39" s="434"/>
      <c r="R39" s="433"/>
      <c r="S39" s="433"/>
      <c r="T39" s="433">
        <f>+T38-'[4]April P&amp;L'!K67</f>
        <v>0</v>
      </c>
      <c r="U39" s="433">
        <f>+U38-'[4]6-Hm FY21 Budget Variance (P&amp;L)'!G41</f>
        <v>0</v>
      </c>
      <c r="V39" s="433">
        <v>0</v>
      </c>
      <c r="AB39" s="453"/>
      <c r="AC39" s="453"/>
    </row>
    <row r="40" spans="1:29" x14ac:dyDescent="0.25">
      <c r="B40" s="435">
        <v>7310</v>
      </c>
      <c r="C40" s="418" t="s">
        <v>290</v>
      </c>
      <c r="D40" s="404">
        <f>'[3]Combined Overview'!I$184</f>
        <v>0</v>
      </c>
      <c r="E40" s="404">
        <f>'[3]Combined Overview'!J$184</f>
        <v>0</v>
      </c>
      <c r="F40" s="404">
        <f>'[3]Combined Overview'!K$184</f>
        <v>0</v>
      </c>
      <c r="G40" s="404">
        <f>'[3]Combined Overview'!L$184</f>
        <v>16170.000000000002</v>
      </c>
      <c r="H40" s="404">
        <f>'[3]Combined Overview'!M$184</f>
        <v>0</v>
      </c>
      <c r="I40" s="404">
        <f>'[3]Combined Overview'!N$184</f>
        <v>0</v>
      </c>
      <c r="J40" s="404">
        <f>'[3]Combined Overview'!O$184</f>
        <v>0</v>
      </c>
      <c r="K40" s="404">
        <f>'[3]Combined Overview'!P$184</f>
        <v>0</v>
      </c>
      <c r="L40" s="404">
        <f>'[3]Combined Overview'!Q$184</f>
        <v>0</v>
      </c>
      <c r="M40" s="404">
        <f>'[3]Combined Overview'!R$184</f>
        <v>0</v>
      </c>
      <c r="N40" s="404">
        <f>'[3]Combined Overview'!S$184</f>
        <v>0</v>
      </c>
      <c r="O40" s="404">
        <f>'[3]Combined Overview'!T$184</f>
        <v>0</v>
      </c>
      <c r="P40" s="470">
        <f t="shared" ref="P40:P71" si="2">(ROUNDUP(SUM(D40:O40),0))</f>
        <v>16170</v>
      </c>
      <c r="Q40" s="437"/>
      <c r="R40" s="411"/>
      <c r="S40" s="407">
        <v>16170</v>
      </c>
      <c r="T40" s="404">
        <f>'[3]Combined Overview'!X$184</f>
        <v>14950</v>
      </c>
      <c r="U40" s="404">
        <f>'[4]6-Hm FY21 Budget Variance (P&amp;L)'!G43</f>
        <v>14950</v>
      </c>
      <c r="V40" s="404">
        <v>14100</v>
      </c>
      <c r="X40" s="438"/>
      <c r="Y40" s="438"/>
      <c r="Z40" s="433"/>
      <c r="AA40" s="438"/>
    </row>
    <row r="41" spans="1:29" x14ac:dyDescent="0.25">
      <c r="B41" s="439" t="s">
        <v>291</v>
      </c>
      <c r="C41" s="418" t="s">
        <v>292</v>
      </c>
      <c r="D41" s="404">
        <f>'[3]Combined Overview'!I$148+'[3]Combined Overview'!I$240</f>
        <v>7050</v>
      </c>
      <c r="E41" s="404">
        <f>'[3]Combined Overview'!J$148+'[3]Combined Overview'!J$240</f>
        <v>6750</v>
      </c>
      <c r="F41" s="404">
        <f>'[3]Combined Overview'!K$148+'[3]Combined Overview'!K$240</f>
        <v>6750</v>
      </c>
      <c r="G41" s="404">
        <f>'[3]Combined Overview'!L$148+'[3]Combined Overview'!L$240</f>
        <v>6750</v>
      </c>
      <c r="H41" s="404">
        <f>'[3]Combined Overview'!M$148+'[3]Combined Overview'!M$240</f>
        <v>8250</v>
      </c>
      <c r="I41" s="404">
        <f>'[3]Combined Overview'!N$148+'[3]Combined Overview'!N$240</f>
        <v>6750</v>
      </c>
      <c r="J41" s="404">
        <f>'[3]Combined Overview'!O$148+'[3]Combined Overview'!O$240</f>
        <v>6950</v>
      </c>
      <c r="K41" s="404">
        <f>'[3]Combined Overview'!P$148+'[3]Combined Overview'!P$240</f>
        <v>11950</v>
      </c>
      <c r="L41" s="404">
        <f>'[3]Combined Overview'!Q$148+'[3]Combined Overview'!Q$240</f>
        <v>10450</v>
      </c>
      <c r="M41" s="404">
        <f>'[3]Combined Overview'!R$148+'[3]Combined Overview'!R$240</f>
        <v>8950</v>
      </c>
      <c r="N41" s="404">
        <f>'[3]Combined Overview'!S$148+'[3]Combined Overview'!S$240</f>
        <v>7950</v>
      </c>
      <c r="O41" s="404">
        <f>'[3]Combined Overview'!T$148+'[3]Combined Overview'!T$240</f>
        <v>7950</v>
      </c>
      <c r="P41" s="470">
        <f t="shared" si="2"/>
        <v>96500</v>
      </c>
      <c r="Q41" s="420"/>
      <c r="R41" s="411"/>
      <c r="S41" s="407">
        <v>96500</v>
      </c>
      <c r="T41" s="404">
        <f>'[3]Combined Overview'!X$148+'[3]Combined Overview'!X$240</f>
        <v>61998.31</v>
      </c>
      <c r="U41" s="404">
        <f>'[4]6-Hm FY21 Budget Variance (P&amp;L)'!G44</f>
        <v>79398.31</v>
      </c>
      <c r="V41" s="404">
        <v>95200</v>
      </c>
      <c r="Z41" s="433"/>
    </row>
    <row r="42" spans="1:29" x14ac:dyDescent="0.25">
      <c r="B42" s="439">
        <v>5405</v>
      </c>
      <c r="C42" s="418" t="s">
        <v>293</v>
      </c>
      <c r="D42" s="404">
        <f>'[3]Combined Overview'!I$154</f>
        <v>0</v>
      </c>
      <c r="E42" s="404">
        <f>'[3]Combined Overview'!J$154</f>
        <v>0</v>
      </c>
      <c r="F42" s="404">
        <f>'[3]Combined Overview'!K$154</f>
        <v>0</v>
      </c>
      <c r="G42" s="404">
        <f>'[3]Combined Overview'!L$154</f>
        <v>0</v>
      </c>
      <c r="H42" s="404">
        <f>'[3]Combined Overview'!M$154</f>
        <v>0</v>
      </c>
      <c r="I42" s="404">
        <f>'[3]Combined Overview'!N$154</f>
        <v>0</v>
      </c>
      <c r="J42" s="404">
        <f>'[3]Combined Overview'!O$154</f>
        <v>50</v>
      </c>
      <c r="K42" s="404">
        <f>'[3]Combined Overview'!P$154</f>
        <v>250</v>
      </c>
      <c r="L42" s="404">
        <f>'[3]Combined Overview'!Q$154</f>
        <v>50</v>
      </c>
      <c r="M42" s="404">
        <f>'[3]Combined Overview'!R$154</f>
        <v>50</v>
      </c>
      <c r="N42" s="404">
        <f>'[3]Combined Overview'!S$154</f>
        <v>50</v>
      </c>
      <c r="O42" s="404">
        <f>'[3]Combined Overview'!T$154</f>
        <v>50</v>
      </c>
      <c r="P42" s="470">
        <f t="shared" si="2"/>
        <v>500</v>
      </c>
      <c r="Q42" s="420"/>
      <c r="R42" s="411"/>
      <c r="S42" s="407">
        <v>500</v>
      </c>
      <c r="T42" s="404">
        <f>'[3]Combined Overview'!X$154</f>
        <v>299</v>
      </c>
      <c r="U42" s="404">
        <f>'[4]6-Hm FY21 Budget Variance (P&amp;L)'!G45</f>
        <v>299</v>
      </c>
      <c r="V42" s="404">
        <v>500</v>
      </c>
      <c r="Z42" s="433"/>
    </row>
    <row r="43" spans="1:29" x14ac:dyDescent="0.25">
      <c r="B43" s="439" t="s">
        <v>294</v>
      </c>
      <c r="C43" s="418" t="s">
        <v>295</v>
      </c>
      <c r="D43" s="404">
        <f>'[3]Combined Overview'!I$113+'[3]Combined Overview'!I$221</f>
        <v>1000</v>
      </c>
      <c r="E43" s="404">
        <f>'[3]Combined Overview'!J$113+'[3]Combined Overview'!J$221</f>
        <v>1000</v>
      </c>
      <c r="F43" s="404">
        <f>'[3]Combined Overview'!K$113+'[3]Combined Overview'!K$221</f>
        <v>1000</v>
      </c>
      <c r="G43" s="404">
        <f>'[3]Combined Overview'!L$113+'[3]Combined Overview'!L$221</f>
        <v>1000</v>
      </c>
      <c r="H43" s="404">
        <f>'[3]Combined Overview'!M$113+'[3]Combined Overview'!M$221</f>
        <v>1000</v>
      </c>
      <c r="I43" s="404">
        <f>'[3]Combined Overview'!N$113+'[3]Combined Overview'!N$221</f>
        <v>1000</v>
      </c>
      <c r="J43" s="404">
        <f>'[3]Combined Overview'!O$113+'[3]Combined Overview'!O$221</f>
        <v>1000</v>
      </c>
      <c r="K43" s="404">
        <f>'[3]Combined Overview'!P$113+'[3]Combined Overview'!P$221</f>
        <v>1000</v>
      </c>
      <c r="L43" s="404">
        <f>'[3]Combined Overview'!Q$113+'[3]Combined Overview'!Q$221</f>
        <v>0</v>
      </c>
      <c r="M43" s="404">
        <f>'[3]Combined Overview'!R$113+'[3]Combined Overview'!R$221</f>
        <v>0</v>
      </c>
      <c r="N43" s="404">
        <f>'[3]Combined Overview'!S$113+'[3]Combined Overview'!S$221</f>
        <v>0</v>
      </c>
      <c r="O43" s="404">
        <f>'[3]Combined Overview'!T$113+'[3]Combined Overview'!T$221</f>
        <v>0</v>
      </c>
      <c r="P43" s="470">
        <f t="shared" si="2"/>
        <v>8000</v>
      </c>
      <c r="Q43" s="440" t="s">
        <v>507</v>
      </c>
      <c r="R43" s="411"/>
      <c r="S43" s="407">
        <v>16340</v>
      </c>
      <c r="T43" s="404">
        <f>'[3]Combined Overview'!X$113+'[3]Combined Overview'!X$221</f>
        <v>2499.9899999999998</v>
      </c>
      <c r="U43" s="404">
        <f>'[4]6-Hm FY21 Budget Variance (P&amp;L)'!G46</f>
        <v>4299.99</v>
      </c>
      <c r="V43" s="404">
        <v>20000</v>
      </c>
      <c r="Z43" s="433"/>
    </row>
    <row r="44" spans="1:29" x14ac:dyDescent="0.25">
      <c r="B44" s="441" t="s">
        <v>226</v>
      </c>
      <c r="C44" s="418" t="s">
        <v>129</v>
      </c>
      <c r="D44" s="404">
        <f>'[3]Combined Overview'!I$92</f>
        <v>27.5</v>
      </c>
      <c r="E44" s="404">
        <f>'[3]Combined Overview'!J$92</f>
        <v>27.5</v>
      </c>
      <c r="F44" s="404">
        <f>'[3]Combined Overview'!K$92</f>
        <v>27.5</v>
      </c>
      <c r="G44" s="404">
        <f>'[3]Combined Overview'!L$92</f>
        <v>27.5</v>
      </c>
      <c r="H44" s="404">
        <f>'[3]Combined Overview'!M$92</f>
        <v>27.5</v>
      </c>
      <c r="I44" s="404">
        <f>'[3]Combined Overview'!N$92</f>
        <v>27.5</v>
      </c>
      <c r="J44" s="404">
        <f>'[3]Combined Overview'!O$92</f>
        <v>12.5</v>
      </c>
      <c r="K44" s="404">
        <f>'[3]Combined Overview'!P$92</f>
        <v>42.5</v>
      </c>
      <c r="L44" s="404">
        <f>'[3]Combined Overview'!Q$92</f>
        <v>252.5</v>
      </c>
      <c r="M44" s="404">
        <f>'[3]Combined Overview'!R$92</f>
        <v>12.5</v>
      </c>
      <c r="N44" s="404">
        <f>'[3]Combined Overview'!S$92</f>
        <v>57.5</v>
      </c>
      <c r="O44" s="404">
        <f>'[3]Combined Overview'!T$92</f>
        <v>27.5</v>
      </c>
      <c r="P44" s="470">
        <f t="shared" si="2"/>
        <v>570</v>
      </c>
      <c r="Q44" s="437"/>
      <c r="R44" s="411"/>
      <c r="S44" s="407">
        <v>570</v>
      </c>
      <c r="T44" s="404">
        <f>'[3]Combined Overview'!X$92</f>
        <v>501</v>
      </c>
      <c r="U44" s="404">
        <f>'[4]6-Hm FY21 Budget Variance (P&amp;L)'!G47</f>
        <v>501</v>
      </c>
      <c r="V44" s="404">
        <v>195</v>
      </c>
      <c r="W44" s="422"/>
      <c r="Z44" s="433"/>
    </row>
    <row r="45" spans="1:29" x14ac:dyDescent="0.25">
      <c r="B45" s="441" t="s">
        <v>296</v>
      </c>
      <c r="C45" s="418" t="s">
        <v>130</v>
      </c>
      <c r="D45" s="404">
        <f>'[3]Combined Overview'!I$116+'[3]Combined Overview'!I$187+'[3]Combined Overview'!I$225</f>
        <v>3066.6666666666665</v>
      </c>
      <c r="E45" s="404">
        <f>'[3]Combined Overview'!J$116+'[3]Combined Overview'!J$187+'[3]Combined Overview'!J$225</f>
        <v>3316.6666666666665</v>
      </c>
      <c r="F45" s="404">
        <f>'[3]Combined Overview'!K$116+'[3]Combined Overview'!K$187+'[3]Combined Overview'!K$225</f>
        <v>3066.6666666666665</v>
      </c>
      <c r="G45" s="404">
        <f>'[3]Combined Overview'!L$116+'[3]Combined Overview'!L$187+'[3]Combined Overview'!L$225</f>
        <v>3066.6666666666665</v>
      </c>
      <c r="H45" s="404">
        <f>'[3]Combined Overview'!M$116+'[3]Combined Overview'!M$187+'[3]Combined Overview'!M$225</f>
        <v>3066.6666666666665</v>
      </c>
      <c r="I45" s="404">
        <f>'[3]Combined Overview'!N$116+'[3]Combined Overview'!N$187+'[3]Combined Overview'!N$225</f>
        <v>3101.6666666666665</v>
      </c>
      <c r="J45" s="404">
        <f>'[3]Combined Overview'!O$116+'[3]Combined Overview'!O$187+'[3]Combined Overview'!O$225</f>
        <v>2991.6666666666665</v>
      </c>
      <c r="K45" s="404">
        <f>'[3]Combined Overview'!P$116+'[3]Combined Overview'!P$187+'[3]Combined Overview'!P$225</f>
        <v>2991.6666666666665</v>
      </c>
      <c r="L45" s="404">
        <f>'[3]Combined Overview'!Q$116+'[3]Combined Overview'!Q$187+'[3]Combined Overview'!Q$225</f>
        <v>3400.3760416666664</v>
      </c>
      <c r="M45" s="404">
        <f>'[3]Combined Overview'!R$116+'[3]Combined Overview'!R$187+'[3]Combined Overview'!R$225</f>
        <v>3454.5372916666665</v>
      </c>
      <c r="N45" s="404">
        <f>'[3]Combined Overview'!S$116+'[3]Combined Overview'!S$187+'[3]Combined Overview'!S$225</f>
        <v>3538.3830729166666</v>
      </c>
      <c r="O45" s="404">
        <f>'[3]Combined Overview'!T$116+'[3]Combined Overview'!T$187+'[3]Combined Overview'!T$225</f>
        <v>3598.4847916666663</v>
      </c>
      <c r="P45" s="470">
        <f t="shared" si="2"/>
        <v>38661</v>
      </c>
      <c r="Q45" s="437"/>
      <c r="R45" s="411"/>
      <c r="S45" s="407">
        <v>40061</v>
      </c>
      <c r="T45" s="404">
        <f>'[3]Combined Overview'!X$116+'[3]Combined Overview'!X$187+'[3]Combined Overview'!X$225</f>
        <v>27633.61</v>
      </c>
      <c r="U45" s="404">
        <f>'[4]6-Hm FY21 Budget Variance (P&amp;L)'!G48</f>
        <v>31771.61</v>
      </c>
      <c r="V45" s="404">
        <v>31277</v>
      </c>
      <c r="W45" s="387">
        <f>+T45/9*12</f>
        <v>36844.813333333339</v>
      </c>
      <c r="X45" s="442"/>
      <c r="Y45" s="442"/>
      <c r="Z45" s="433"/>
    </row>
    <row r="46" spans="1:29" x14ac:dyDescent="0.25">
      <c r="B46" s="435">
        <v>7356</v>
      </c>
      <c r="C46" s="418" t="s">
        <v>132</v>
      </c>
      <c r="D46" s="404">
        <f>'[3]Combined Overview'!I$193</f>
        <v>-515</v>
      </c>
      <c r="E46" s="404">
        <f>'[3]Combined Overview'!J$193</f>
        <v>25</v>
      </c>
      <c r="F46" s="404">
        <f>'[3]Combined Overview'!K$193</f>
        <v>0</v>
      </c>
      <c r="G46" s="404">
        <f>'[3]Combined Overview'!L$193</f>
        <v>500</v>
      </c>
      <c r="H46" s="404">
        <f>'[3]Combined Overview'!M$193</f>
        <v>25</v>
      </c>
      <c r="I46" s="404">
        <f>'[3]Combined Overview'!N$193</f>
        <v>25</v>
      </c>
      <c r="J46" s="404">
        <f>'[3]Combined Overview'!O$193</f>
        <v>0</v>
      </c>
      <c r="K46" s="404">
        <f>'[3]Combined Overview'!P$193</f>
        <v>25</v>
      </c>
      <c r="L46" s="404">
        <f>'[3]Combined Overview'!Q$193</f>
        <v>1800</v>
      </c>
      <c r="M46" s="404">
        <f>'[3]Combined Overview'!R$193</f>
        <v>25</v>
      </c>
      <c r="N46" s="404">
        <f>'[3]Combined Overview'!S$193</f>
        <v>25</v>
      </c>
      <c r="O46" s="404">
        <f>'[3]Combined Overview'!T$193</f>
        <v>65</v>
      </c>
      <c r="P46" s="470">
        <f t="shared" si="2"/>
        <v>2000</v>
      </c>
      <c r="Q46" s="437"/>
      <c r="R46" s="411"/>
      <c r="S46" s="407">
        <v>2515</v>
      </c>
      <c r="T46" s="404">
        <f>'[3]Combined Overview'!X$193</f>
        <v>3729.19</v>
      </c>
      <c r="U46" s="404">
        <f>'[4]6-Hm FY21 Budget Variance (P&amp;L)'!G49</f>
        <v>3829.19</v>
      </c>
      <c r="V46" s="404">
        <v>1000</v>
      </c>
      <c r="Z46" s="433"/>
    </row>
    <row r="47" spans="1:29" x14ac:dyDescent="0.25">
      <c r="B47" s="441">
        <v>5105</v>
      </c>
      <c r="C47" s="418" t="s">
        <v>133</v>
      </c>
      <c r="D47" s="404">
        <f>'[3]Combined Overview'!I$82</f>
        <v>1458.3333333333333</v>
      </c>
      <c r="E47" s="404">
        <f>'[3]Combined Overview'!J$82</f>
        <v>1458.3333333333333</v>
      </c>
      <c r="F47" s="404">
        <f>'[3]Combined Overview'!K$82</f>
        <v>1458.3333333333333</v>
      </c>
      <c r="G47" s="404">
        <f>'[3]Combined Overview'!L$82</f>
        <v>1458.3333333333333</v>
      </c>
      <c r="H47" s="404">
        <f>'[3]Combined Overview'!M$82</f>
        <v>1458.3333333333333</v>
      </c>
      <c r="I47" s="404">
        <f>'[3]Combined Overview'!N$82</f>
        <v>1458.3333333333333</v>
      </c>
      <c r="J47" s="404">
        <f>'[3]Combined Overview'!O$82</f>
        <v>1458.3333333333333</v>
      </c>
      <c r="K47" s="404">
        <f>'[3]Combined Overview'!P$82</f>
        <v>1458.3333333333333</v>
      </c>
      <c r="L47" s="404">
        <f>'[3]Combined Overview'!Q$82</f>
        <v>2658.333333333333</v>
      </c>
      <c r="M47" s="404">
        <f>'[3]Combined Overview'!R$82</f>
        <v>2658.333333333333</v>
      </c>
      <c r="N47" s="404">
        <f>'[3]Combined Overview'!S$82</f>
        <v>2658.333333333333</v>
      </c>
      <c r="O47" s="404">
        <f>'[3]Combined Overview'!T$82</f>
        <v>2658.333333333333</v>
      </c>
      <c r="P47" s="470">
        <f t="shared" si="2"/>
        <v>22300</v>
      </c>
      <c r="Q47" s="437"/>
      <c r="R47" s="411"/>
      <c r="S47" s="407">
        <v>22300</v>
      </c>
      <c r="T47" s="404">
        <f>'[3]Combined Overview'!X$82</f>
        <v>13452.99</v>
      </c>
      <c r="U47" s="404">
        <f>'[4]6-Hm FY21 Budget Variance (P&amp;L)'!G50</f>
        <v>16252.99</v>
      </c>
      <c r="V47" s="404">
        <v>17225</v>
      </c>
      <c r="Z47" s="433"/>
    </row>
    <row r="48" spans="1:29" x14ac:dyDescent="0.25">
      <c r="B48" s="435">
        <v>5361</v>
      </c>
      <c r="C48" s="418" t="s">
        <v>135</v>
      </c>
      <c r="D48" s="404">
        <f>'[3]Combined Overview'!I$127</f>
        <v>4166.666666666667</v>
      </c>
      <c r="E48" s="404">
        <f>'[3]Combined Overview'!J$127</f>
        <v>4166.666666666667</v>
      </c>
      <c r="F48" s="404">
        <f>'[3]Combined Overview'!K$127</f>
        <v>4166.666666666667</v>
      </c>
      <c r="G48" s="404">
        <f>'[3]Combined Overview'!L$127</f>
        <v>4166.666666666667</v>
      </c>
      <c r="H48" s="404">
        <f>'[3]Combined Overview'!M$127</f>
        <v>4166.666666666667</v>
      </c>
      <c r="I48" s="404">
        <f>'[3]Combined Overview'!N$127</f>
        <v>4166.666666666667</v>
      </c>
      <c r="J48" s="404">
        <f>'[3]Combined Overview'!O$127</f>
        <v>4166.666666666667</v>
      </c>
      <c r="K48" s="404">
        <f>'[3]Combined Overview'!P$127</f>
        <v>4166.666666666667</v>
      </c>
      <c r="L48" s="404">
        <f>'[3]Combined Overview'!Q$127</f>
        <v>4166.666666666667</v>
      </c>
      <c r="M48" s="404">
        <f>'[3]Combined Overview'!R$127</f>
        <v>4166.666666666667</v>
      </c>
      <c r="N48" s="404">
        <f>'[3]Combined Overview'!S$127</f>
        <v>4166.666666666667</v>
      </c>
      <c r="O48" s="404">
        <f>'[3]Combined Overview'!T$127</f>
        <v>4416.666666666667</v>
      </c>
      <c r="P48" s="477">
        <f>(ROUNDUP(SUM(D48:O48),0))-18000</f>
        <v>32250</v>
      </c>
      <c r="Q48" s="437"/>
      <c r="R48" s="411"/>
      <c r="S48" s="407">
        <v>50250</v>
      </c>
      <c r="T48" s="404">
        <f>'[3]Combined Overview'!X$127</f>
        <v>2287.59</v>
      </c>
      <c r="U48" s="404">
        <f>'[4]6-Hm FY21 Budget Variance (P&amp;L)'!G51</f>
        <v>2287.59</v>
      </c>
      <c r="V48" s="404">
        <v>8000</v>
      </c>
      <c r="Z48" s="433"/>
    </row>
    <row r="49" spans="2:26" x14ac:dyDescent="0.25">
      <c r="B49" s="435">
        <v>5572</v>
      </c>
      <c r="C49" s="418" t="s">
        <v>297</v>
      </c>
      <c r="D49" s="404">
        <f>'[3]Combined Overview'!I$173</f>
        <v>0</v>
      </c>
      <c r="E49" s="404">
        <f>'[3]Combined Overview'!J$173</f>
        <v>0</v>
      </c>
      <c r="F49" s="404">
        <f>'[3]Combined Overview'!K$173</f>
        <v>0</v>
      </c>
      <c r="G49" s="404">
        <f>'[3]Combined Overview'!L$173</f>
        <v>0</v>
      </c>
      <c r="H49" s="404">
        <f>'[3]Combined Overview'!M$173</f>
        <v>0</v>
      </c>
      <c r="I49" s="404">
        <f>'[3]Combined Overview'!N$173</f>
        <v>0</v>
      </c>
      <c r="J49" s="404">
        <f>'[3]Combined Overview'!O$173</f>
        <v>0</v>
      </c>
      <c r="K49" s="404">
        <f>'[3]Combined Overview'!P$173</f>
        <v>0</v>
      </c>
      <c r="L49" s="404">
        <f>'[3]Combined Overview'!Q$173</f>
        <v>0</v>
      </c>
      <c r="M49" s="404">
        <f>'[3]Combined Overview'!R$173</f>
        <v>0</v>
      </c>
      <c r="N49" s="404">
        <f>'[3]Combined Overview'!S$173</f>
        <v>0</v>
      </c>
      <c r="O49" s="404">
        <f>'[3]Combined Overview'!T$173</f>
        <v>0</v>
      </c>
      <c r="P49" s="436">
        <f t="shared" si="2"/>
        <v>0</v>
      </c>
      <c r="Q49" s="437"/>
      <c r="R49" s="411"/>
      <c r="S49" s="407">
        <v>0</v>
      </c>
      <c r="T49" s="404">
        <f>'[3]Combined Overview'!X$173</f>
        <v>-34.869999999999997</v>
      </c>
      <c r="U49" s="404">
        <f>'[4]6-Hm FY21 Budget Variance (P&amp;L)'!G52</f>
        <v>-9.8699999999999974</v>
      </c>
      <c r="V49" s="404">
        <v>240</v>
      </c>
      <c r="Z49" s="433"/>
    </row>
    <row r="50" spans="2:26" x14ac:dyDescent="0.25">
      <c r="B50" s="441">
        <v>5204</v>
      </c>
      <c r="C50" s="104" t="s">
        <v>137</v>
      </c>
      <c r="D50" s="404">
        <f>'[3]Combined Overview'!I$89</f>
        <v>114</v>
      </c>
      <c r="E50" s="404">
        <f>'[3]Combined Overview'!J$89</f>
        <v>3100</v>
      </c>
      <c r="F50" s="404">
        <f>'[3]Combined Overview'!K$89</f>
        <v>100</v>
      </c>
      <c r="G50" s="404">
        <f>'[3]Combined Overview'!L$89</f>
        <v>0</v>
      </c>
      <c r="H50" s="404">
        <f>'[3]Combined Overview'!M$89</f>
        <v>0</v>
      </c>
      <c r="I50" s="404">
        <f>'[3]Combined Overview'!N$89</f>
        <v>1507</v>
      </c>
      <c r="J50" s="404">
        <f>'[3]Combined Overview'!O$89</f>
        <v>1500</v>
      </c>
      <c r="K50" s="404">
        <f>'[3]Combined Overview'!P$89</f>
        <v>14</v>
      </c>
      <c r="L50" s="404">
        <f>'[3]Combined Overview'!Q$89</f>
        <v>0</v>
      </c>
      <c r="M50" s="404">
        <f>'[3]Combined Overview'!R$89</f>
        <v>1500</v>
      </c>
      <c r="N50" s="404">
        <f>'[3]Combined Overview'!S$89</f>
        <v>114</v>
      </c>
      <c r="O50" s="404">
        <f>'[3]Combined Overview'!T$89</f>
        <v>3000</v>
      </c>
      <c r="P50" s="470">
        <f t="shared" si="2"/>
        <v>10949</v>
      </c>
      <c r="Q50" s="437" t="s">
        <v>508</v>
      </c>
      <c r="R50" s="411"/>
      <c r="S50" s="407">
        <v>9449</v>
      </c>
      <c r="T50" s="404">
        <f>'[3]Combined Overview'!X$89</f>
        <v>9800.7999999999993</v>
      </c>
      <c r="U50" s="404">
        <f>'[4]6-Hm FY21 Budget Variance (P&amp;L)'!G53</f>
        <v>13300.8</v>
      </c>
      <c r="V50" s="404">
        <v>10640</v>
      </c>
      <c r="Z50" s="433"/>
    </row>
    <row r="51" spans="2:26" ht="16.5" customHeight="1" x14ac:dyDescent="0.25">
      <c r="B51" s="441" t="s">
        <v>298</v>
      </c>
      <c r="C51" s="418" t="s">
        <v>139</v>
      </c>
      <c r="D51" s="404">
        <f>'[3]Combined Overview'!I$155+'[3]Combined Overview'!I$206+'[3]Combined Overview'!I$244</f>
        <v>2872.6333333333332</v>
      </c>
      <c r="E51" s="404">
        <f>'[3]Combined Overview'!J$155+'[3]Combined Overview'!J$206+'[3]Combined Overview'!J$244</f>
        <v>1577.6333333333334</v>
      </c>
      <c r="F51" s="404">
        <f>'[3]Combined Overview'!K$155+'[3]Combined Overview'!K$206+'[3]Combined Overview'!K$244</f>
        <v>2622.6333333333332</v>
      </c>
      <c r="G51" s="404">
        <f>'[3]Combined Overview'!L$155+'[3]Combined Overview'!L$206+'[3]Combined Overview'!L$244</f>
        <v>1777.6333333333334</v>
      </c>
      <c r="H51" s="404">
        <f>'[3]Combined Overview'!M$155+'[3]Combined Overview'!M$206+'[3]Combined Overview'!M$244</f>
        <v>2357.6333333333332</v>
      </c>
      <c r="I51" s="404">
        <f>'[3]Combined Overview'!N$155+'[3]Combined Overview'!N$206+'[3]Combined Overview'!N$244</f>
        <v>1682.6333333333334</v>
      </c>
      <c r="J51" s="404">
        <f>'[3]Combined Overview'!O$155+'[3]Combined Overview'!O$206+'[3]Combined Overview'!O$244</f>
        <v>1912.6333333333334</v>
      </c>
      <c r="K51" s="404">
        <f>'[3]Combined Overview'!P$155+'[3]Combined Overview'!P$206+'[3]Combined Overview'!P$244</f>
        <v>3517.6333333333332</v>
      </c>
      <c r="L51" s="404">
        <f>'[3]Combined Overview'!Q$155+'[3]Combined Overview'!Q$206+'[3]Combined Overview'!Q$244</f>
        <v>19942.633333333331</v>
      </c>
      <c r="M51" s="404">
        <f>'[3]Combined Overview'!R$155+'[3]Combined Overview'!R$206+'[3]Combined Overview'!R$244</f>
        <v>4812.6333333333332</v>
      </c>
      <c r="N51" s="404">
        <f>'[3]Combined Overview'!S$155+'[3]Combined Overview'!S$206+'[3]Combined Overview'!S$244</f>
        <v>-407.36666666666662</v>
      </c>
      <c r="O51" s="404">
        <f>'[3]Combined Overview'!T$155+'[3]Combined Overview'!T$206+'[3]Combined Overview'!T$244</f>
        <v>-4372.3666666666668</v>
      </c>
      <c r="P51" s="470">
        <f t="shared" si="2"/>
        <v>38297</v>
      </c>
      <c r="Q51" s="443" t="s">
        <v>509</v>
      </c>
      <c r="R51" s="411"/>
      <c r="S51" s="407">
        <v>44912</v>
      </c>
      <c r="T51" s="404">
        <f>'[3]Combined Overview'!X$155+'[3]Combined Overview'!X$206+'[3]Combined Overview'!X$244</f>
        <v>15710.199999999999</v>
      </c>
      <c r="U51" s="404">
        <f>'[4]6-Hm FY21 Budget Variance (P&amp;L)'!G54</f>
        <v>15710.199999999999</v>
      </c>
      <c r="V51" s="404">
        <v>22610</v>
      </c>
      <c r="Z51" s="471"/>
    </row>
    <row r="52" spans="2:26" x14ac:dyDescent="0.25">
      <c r="B52" s="435">
        <v>5571</v>
      </c>
      <c r="C52" s="418" t="s">
        <v>140</v>
      </c>
      <c r="D52" s="404">
        <f>'[3]Combined Overview'!I$172</f>
        <v>2500</v>
      </c>
      <c r="E52" s="404">
        <f>'[3]Combined Overview'!J$172</f>
        <v>2500</v>
      </c>
      <c r="F52" s="404">
        <f>'[3]Combined Overview'!K$172</f>
        <v>2500</v>
      </c>
      <c r="G52" s="404">
        <f>'[3]Combined Overview'!L$172</f>
        <v>2500</v>
      </c>
      <c r="H52" s="404">
        <f>'[3]Combined Overview'!M$172</f>
        <v>2500</v>
      </c>
      <c r="I52" s="404">
        <f>'[3]Combined Overview'!N$172</f>
        <v>2500</v>
      </c>
      <c r="J52" s="404">
        <f>'[3]Combined Overview'!O$172</f>
        <v>2500</v>
      </c>
      <c r="K52" s="404">
        <f>'[3]Combined Overview'!P$172</f>
        <v>2500</v>
      </c>
      <c r="L52" s="404">
        <f>'[3]Combined Overview'!Q$172</f>
        <v>2500</v>
      </c>
      <c r="M52" s="404">
        <f>'[3]Combined Overview'!R$172</f>
        <v>2500</v>
      </c>
      <c r="N52" s="404">
        <f>'[3]Combined Overview'!S$172</f>
        <v>2500</v>
      </c>
      <c r="O52" s="404">
        <f>'[3]Combined Overview'!T$172</f>
        <v>2500</v>
      </c>
      <c r="P52" s="470">
        <f t="shared" si="2"/>
        <v>30000</v>
      </c>
      <c r="Q52" s="444"/>
      <c r="R52" s="411"/>
      <c r="S52" s="407">
        <v>30000</v>
      </c>
      <c r="T52" s="404">
        <f>'[3]Combined Overview'!X$172</f>
        <v>19768.8</v>
      </c>
      <c r="U52" s="404">
        <f>'[4]6-Hm FY21 Budget Variance (P&amp;L)'!G55</f>
        <v>21768.799999999999</v>
      </c>
      <c r="V52" s="404">
        <v>30000</v>
      </c>
      <c r="Z52" s="471"/>
    </row>
    <row r="53" spans="2:26" x14ac:dyDescent="0.25">
      <c r="B53" s="441">
        <v>5118</v>
      </c>
      <c r="C53" s="418" t="s">
        <v>299</v>
      </c>
      <c r="D53" s="404">
        <f>'[3]Combined Overview'!I$77</f>
        <v>600</v>
      </c>
      <c r="E53" s="404">
        <f>'[3]Combined Overview'!J$77</f>
        <v>1100</v>
      </c>
      <c r="F53" s="404">
        <f>'[3]Combined Overview'!K$77</f>
        <v>3100</v>
      </c>
      <c r="G53" s="404">
        <f>'[3]Combined Overview'!L$77</f>
        <v>600</v>
      </c>
      <c r="H53" s="404">
        <f>'[3]Combined Overview'!M$77</f>
        <v>600</v>
      </c>
      <c r="I53" s="404">
        <f>'[3]Combined Overview'!N$77</f>
        <v>600</v>
      </c>
      <c r="J53" s="404">
        <f>'[3]Combined Overview'!O$77</f>
        <v>600</v>
      </c>
      <c r="K53" s="404">
        <f>'[3]Combined Overview'!P$77</f>
        <v>600</v>
      </c>
      <c r="L53" s="404">
        <f>'[3]Combined Overview'!Q$77</f>
        <v>600</v>
      </c>
      <c r="M53" s="404">
        <f>'[3]Combined Overview'!R$77</f>
        <v>600</v>
      </c>
      <c r="N53" s="404">
        <f>'[3]Combined Overview'!S$77</f>
        <v>600</v>
      </c>
      <c r="O53" s="404">
        <f>'[3]Combined Overview'!T$77</f>
        <v>600</v>
      </c>
      <c r="P53" s="470">
        <f t="shared" si="2"/>
        <v>10200</v>
      </c>
      <c r="Q53" s="444"/>
      <c r="R53" s="411"/>
      <c r="S53" s="407">
        <v>10200</v>
      </c>
      <c r="T53" s="404">
        <f>'[3]Combined Overview'!X$77</f>
        <v>7483.74</v>
      </c>
      <c r="U53" s="404">
        <f>'[4]6-Hm FY21 Budget Variance (P&amp;L)'!G56</f>
        <v>8233.74</v>
      </c>
      <c r="V53" s="404">
        <v>1500</v>
      </c>
      <c r="Z53" s="471"/>
    </row>
    <row r="54" spans="2:26" x14ac:dyDescent="0.25">
      <c r="B54" s="441">
        <v>5117</v>
      </c>
      <c r="C54" s="418" t="s">
        <v>460</v>
      </c>
      <c r="D54" s="404">
        <f>'[3]Combined Overview'!I$76</f>
        <v>0</v>
      </c>
      <c r="E54" s="404">
        <f>'[3]Combined Overview'!J$76</f>
        <v>0</v>
      </c>
      <c r="F54" s="404">
        <f>'[3]Combined Overview'!K$76</f>
        <v>0</v>
      </c>
      <c r="G54" s="404">
        <f>'[3]Combined Overview'!L$76</f>
        <v>0</v>
      </c>
      <c r="H54" s="404">
        <f>'[3]Combined Overview'!M$76</f>
        <v>0</v>
      </c>
      <c r="I54" s="404">
        <f>'[3]Combined Overview'!N$76</f>
        <v>0</v>
      </c>
      <c r="J54" s="404">
        <f>'[3]Combined Overview'!O$76</f>
        <v>0</v>
      </c>
      <c r="K54" s="404">
        <f>'[3]Combined Overview'!P$76</f>
        <v>0</v>
      </c>
      <c r="L54" s="404">
        <f>'[3]Combined Overview'!Q$76</f>
        <v>0</v>
      </c>
      <c r="M54" s="404">
        <f>'[3]Combined Overview'!R$76</f>
        <v>0</v>
      </c>
      <c r="N54" s="404">
        <f>'[3]Combined Overview'!S$76</f>
        <v>0</v>
      </c>
      <c r="O54" s="404">
        <f>'[3]Combined Overview'!T$76</f>
        <v>0</v>
      </c>
      <c r="P54" s="436">
        <f t="shared" si="2"/>
        <v>0</v>
      </c>
      <c r="Q54" s="444"/>
      <c r="R54" s="411"/>
      <c r="S54" s="407">
        <v>0</v>
      </c>
      <c r="T54" s="404">
        <f>'[3]Combined Overview'!X$76</f>
        <v>391.65</v>
      </c>
      <c r="U54" s="404">
        <f>'[4]6-Hm FY21 Budget Variance (P&amp;L)'!G57</f>
        <v>391.65</v>
      </c>
      <c r="V54" s="404">
        <v>0</v>
      </c>
      <c r="Z54" s="471"/>
    </row>
    <row r="55" spans="2:26" x14ac:dyDescent="0.25">
      <c r="B55" s="441">
        <v>5102</v>
      </c>
      <c r="C55" s="418" t="s">
        <v>300</v>
      </c>
      <c r="D55" s="404">
        <f>'[3]Combined Overview'!I$71</f>
        <v>0</v>
      </c>
      <c r="E55" s="404">
        <f>'[3]Combined Overview'!J$71</f>
        <v>0</v>
      </c>
      <c r="F55" s="404">
        <f>'[3]Combined Overview'!K$71</f>
        <v>0</v>
      </c>
      <c r="G55" s="404">
        <f>'[3]Combined Overview'!L$71</f>
        <v>0</v>
      </c>
      <c r="H55" s="404">
        <f>'[3]Combined Overview'!M$71</f>
        <v>0</v>
      </c>
      <c r="I55" s="404">
        <f>'[3]Combined Overview'!N$71</f>
        <v>0</v>
      </c>
      <c r="J55" s="404">
        <f>'[3]Combined Overview'!O$71</f>
        <v>0</v>
      </c>
      <c r="K55" s="404">
        <f>'[3]Combined Overview'!P$71</f>
        <v>0</v>
      </c>
      <c r="L55" s="404">
        <f>'[3]Combined Overview'!Q$71</f>
        <v>0</v>
      </c>
      <c r="M55" s="404">
        <f>'[3]Combined Overview'!R$71</f>
        <v>0</v>
      </c>
      <c r="N55" s="404">
        <f>'[3]Combined Overview'!S$71</f>
        <v>0</v>
      </c>
      <c r="O55" s="404">
        <f>'[3]Combined Overview'!T$71</f>
        <v>1340568.7044166666</v>
      </c>
      <c r="P55" s="470">
        <f t="shared" si="2"/>
        <v>1340569</v>
      </c>
      <c r="Q55" s="444" t="s">
        <v>510</v>
      </c>
      <c r="R55" s="411"/>
      <c r="S55" s="407">
        <v>1230500</v>
      </c>
      <c r="T55" s="404">
        <f>'[3]Combined Overview'!X$71</f>
        <v>969635.2</v>
      </c>
      <c r="U55" s="404">
        <f>'[4]6-Hm FY21 Budget Variance (P&amp;L)'!G58</f>
        <v>1319635.2</v>
      </c>
      <c r="V55" s="404">
        <v>1120000</v>
      </c>
      <c r="Z55" s="433"/>
    </row>
    <row r="56" spans="2:26" x14ac:dyDescent="0.25">
      <c r="B56" s="435">
        <v>5570</v>
      </c>
      <c r="C56" s="418" t="s">
        <v>145</v>
      </c>
      <c r="D56" s="404">
        <f>'[3]Combined Overview'!I$171</f>
        <v>6500</v>
      </c>
      <c r="E56" s="404">
        <f>'[3]Combined Overview'!J$171</f>
        <v>6500</v>
      </c>
      <c r="F56" s="404">
        <f>'[3]Combined Overview'!K$171</f>
        <v>6500</v>
      </c>
      <c r="G56" s="404">
        <f>'[3]Combined Overview'!L$171</f>
        <v>6500</v>
      </c>
      <c r="H56" s="404">
        <f>'[3]Combined Overview'!M$171</f>
        <v>6500</v>
      </c>
      <c r="I56" s="404">
        <f>'[3]Combined Overview'!N$171</f>
        <v>6500</v>
      </c>
      <c r="J56" s="404">
        <f>'[3]Combined Overview'!O$171</f>
        <v>6500</v>
      </c>
      <c r="K56" s="404">
        <f>'[3]Combined Overview'!P$171</f>
        <v>6500</v>
      </c>
      <c r="L56" s="404">
        <f>'[3]Combined Overview'!Q$171</f>
        <v>6500</v>
      </c>
      <c r="M56" s="404">
        <f>'[3]Combined Overview'!R$171</f>
        <v>8500</v>
      </c>
      <c r="N56" s="404">
        <f>'[3]Combined Overview'!S$171</f>
        <v>8500</v>
      </c>
      <c r="O56" s="404">
        <f>'[3]Combined Overview'!T$171</f>
        <v>8500</v>
      </c>
      <c r="P56" s="470">
        <f t="shared" si="2"/>
        <v>84000</v>
      </c>
      <c r="Q56" s="444" t="s">
        <v>511</v>
      </c>
      <c r="R56" s="411"/>
      <c r="S56" s="407">
        <v>110691</v>
      </c>
      <c r="T56" s="404">
        <f>'[3]Combined Overview'!X$171</f>
        <v>57603.96</v>
      </c>
      <c r="U56" s="404">
        <f>'[4]6-Hm FY21 Budget Variance (P&amp;L)'!G59</f>
        <v>70603.959999999992</v>
      </c>
      <c r="V56" s="404">
        <v>78000</v>
      </c>
      <c r="Z56" s="433"/>
    </row>
    <row r="57" spans="2:26" x14ac:dyDescent="0.25">
      <c r="B57" s="441">
        <v>5123</v>
      </c>
      <c r="C57" s="418" t="s">
        <v>301</v>
      </c>
      <c r="D57" s="404">
        <f>'[3]Combined Overview'!I$79</f>
        <v>10000</v>
      </c>
      <c r="E57" s="404">
        <f>'[3]Combined Overview'!J$79</f>
        <v>2500</v>
      </c>
      <c r="F57" s="404">
        <f>'[3]Combined Overview'!K$79</f>
        <v>10000</v>
      </c>
      <c r="G57" s="404">
        <f>'[3]Combined Overview'!L$79</f>
        <v>2500</v>
      </c>
      <c r="H57" s="404">
        <f>'[3]Combined Overview'!M$79</f>
        <v>0</v>
      </c>
      <c r="I57" s="404">
        <f>'[3]Combined Overview'!N$79</f>
        <v>0</v>
      </c>
      <c r="J57" s="404">
        <f>'[3]Combined Overview'!O$79</f>
        <v>0</v>
      </c>
      <c r="K57" s="404">
        <f>'[3]Combined Overview'!P$79</f>
        <v>0</v>
      </c>
      <c r="L57" s="404">
        <f>'[3]Combined Overview'!Q$79</f>
        <v>0</v>
      </c>
      <c r="M57" s="404">
        <f>'[3]Combined Overview'!R$79</f>
        <v>0</v>
      </c>
      <c r="N57" s="404">
        <f>'[3]Combined Overview'!S$79</f>
        <v>10000</v>
      </c>
      <c r="O57" s="404">
        <f>'[3]Combined Overview'!T$79</f>
        <v>2500</v>
      </c>
      <c r="P57" s="470">
        <f t="shared" si="2"/>
        <v>37500</v>
      </c>
      <c r="Q57" s="444"/>
      <c r="R57" s="411"/>
      <c r="S57" s="407">
        <v>37500</v>
      </c>
      <c r="T57" s="404">
        <f>'[3]Combined Overview'!X$79</f>
        <v>4162.92</v>
      </c>
      <c r="U57" s="404">
        <f>'[4]6-Hm FY21 Budget Variance (P&amp;L)'!G60</f>
        <v>8162.92</v>
      </c>
      <c r="V57" s="404">
        <v>7500</v>
      </c>
      <c r="Z57" s="433"/>
    </row>
    <row r="58" spans="2:26" x14ac:dyDescent="0.25">
      <c r="B58" s="439">
        <v>5206</v>
      </c>
      <c r="C58" s="418" t="s">
        <v>147</v>
      </c>
      <c r="D58" s="404">
        <f>'[3]Combined Overview'!I$91</f>
        <v>52</v>
      </c>
      <c r="E58" s="404">
        <f>'[3]Combined Overview'!J$91</f>
        <v>0</v>
      </c>
      <c r="F58" s="404">
        <f>'[3]Combined Overview'!K$91</f>
        <v>0</v>
      </c>
      <c r="G58" s="404">
        <f>'[3]Combined Overview'!L$91</f>
        <v>0</v>
      </c>
      <c r="H58" s="404">
        <f>'[3]Combined Overview'!M$91</f>
        <v>26</v>
      </c>
      <c r="I58" s="404">
        <f>'[3]Combined Overview'!N$91</f>
        <v>26</v>
      </c>
      <c r="J58" s="404">
        <f>'[3]Combined Overview'!O$91</f>
        <v>825</v>
      </c>
      <c r="K58" s="404">
        <f>'[3]Combined Overview'!P$91</f>
        <v>56</v>
      </c>
      <c r="L58" s="404">
        <f>'[3]Combined Overview'!Q$91</f>
        <v>26</v>
      </c>
      <c r="M58" s="404">
        <f>'[3]Combined Overview'!R$91</f>
        <v>0</v>
      </c>
      <c r="N58" s="404">
        <f>'[3]Combined Overview'!S$91</f>
        <v>56</v>
      </c>
      <c r="O58" s="404">
        <f>'[3]Combined Overview'!T$91</f>
        <v>0</v>
      </c>
      <c r="P58" s="470">
        <f t="shared" si="2"/>
        <v>1067</v>
      </c>
      <c r="Q58" s="444"/>
      <c r="R58" s="411"/>
      <c r="S58" s="407">
        <v>1067</v>
      </c>
      <c r="T58" s="404">
        <f>'[3]Combined Overview'!X$91</f>
        <v>1323.25</v>
      </c>
      <c r="U58" s="404">
        <f>'[4]6-Hm FY21 Budget Variance (P&amp;L)'!G61</f>
        <v>1373.25</v>
      </c>
      <c r="V58" s="404">
        <v>1665</v>
      </c>
      <c r="Z58" s="433"/>
    </row>
    <row r="59" spans="2:26" x14ac:dyDescent="0.25">
      <c r="B59" s="441">
        <v>5210</v>
      </c>
      <c r="C59" s="418" t="s">
        <v>148</v>
      </c>
      <c r="D59" s="404">
        <f>'[3]Combined Overview'!I$99</f>
        <v>0</v>
      </c>
      <c r="E59" s="404">
        <f>'[3]Combined Overview'!J$99</f>
        <v>0</v>
      </c>
      <c r="F59" s="404">
        <f>'[3]Combined Overview'!K$99</f>
        <v>600</v>
      </c>
      <c r="G59" s="404">
        <f>'[3]Combined Overview'!L$99</f>
        <v>40</v>
      </c>
      <c r="H59" s="404">
        <f>'[3]Combined Overview'!M$99</f>
        <v>40</v>
      </c>
      <c r="I59" s="404">
        <f>'[3]Combined Overview'!N$99</f>
        <v>190</v>
      </c>
      <c r="J59" s="404">
        <f>'[3]Combined Overview'!O$99</f>
        <v>540</v>
      </c>
      <c r="K59" s="404">
        <f>'[3]Combined Overview'!P$99</f>
        <v>0</v>
      </c>
      <c r="L59" s="404">
        <f>'[3]Combined Overview'!Q$99</f>
        <v>100</v>
      </c>
      <c r="M59" s="404">
        <f>'[3]Combined Overview'!R$99</f>
        <v>50</v>
      </c>
      <c r="N59" s="404">
        <f>'[3]Combined Overview'!S$99</f>
        <v>0</v>
      </c>
      <c r="O59" s="404">
        <f>'[3]Combined Overview'!T$99</f>
        <v>1000</v>
      </c>
      <c r="P59" s="470">
        <f t="shared" si="2"/>
        <v>2560</v>
      </c>
      <c r="Q59" s="444" t="s">
        <v>512</v>
      </c>
      <c r="R59" s="411">
        <v>1000</v>
      </c>
      <c r="S59" s="407">
        <v>2560</v>
      </c>
      <c r="T59" s="404">
        <f>'[3]Combined Overview'!X$99</f>
        <v>417.84</v>
      </c>
      <c r="U59" s="404">
        <f>'[4]6-Hm FY21 Budget Variance (P&amp;L)'!G62</f>
        <v>567.83999999999992</v>
      </c>
      <c r="V59" s="404">
        <v>1400</v>
      </c>
      <c r="Z59" s="433"/>
    </row>
    <row r="60" spans="2:26" x14ac:dyDescent="0.25">
      <c r="B60" s="435">
        <v>5426</v>
      </c>
      <c r="C60" s="418" t="s">
        <v>302</v>
      </c>
      <c r="D60" s="404">
        <f>'[3]Combined Overview'!I$163</f>
        <v>4327.1653504273499</v>
      </c>
      <c r="E60" s="404">
        <f>'[3]Combined Overview'!J$163</f>
        <v>4327.1653504273499</v>
      </c>
      <c r="F60" s="404">
        <f>'[3]Combined Overview'!K$163</f>
        <v>4327.1653504273499</v>
      </c>
      <c r="G60" s="404">
        <f>'[3]Combined Overview'!L$163</f>
        <v>4327.1653504273499</v>
      </c>
      <c r="H60" s="404">
        <f>'[3]Combined Overview'!M$163</f>
        <v>4327.1653504273499</v>
      </c>
      <c r="I60" s="404">
        <f>'[3]Combined Overview'!N$163</f>
        <v>4327.1653504273499</v>
      </c>
      <c r="J60" s="404">
        <f>'[3]Combined Overview'!O$163</f>
        <v>4327.1653504273499</v>
      </c>
      <c r="K60" s="404">
        <f>'[3]Combined Overview'!P$163</f>
        <v>4327.1653504273499</v>
      </c>
      <c r="L60" s="404">
        <f>'[3]Combined Overview'!Q$163</f>
        <v>4327.1653504273499</v>
      </c>
      <c r="M60" s="404">
        <f>'[3]Combined Overview'!R$163</f>
        <v>10577.165350427349</v>
      </c>
      <c r="N60" s="404">
        <f>'[3]Combined Overview'!S$163</f>
        <v>10577.165350427349</v>
      </c>
      <c r="O60" s="404">
        <f>'[3]Combined Overview'!T$163</f>
        <v>10577.165350427349</v>
      </c>
      <c r="P60" s="470">
        <f t="shared" si="2"/>
        <v>70676</v>
      </c>
      <c r="Q60" s="445" t="s">
        <v>513</v>
      </c>
      <c r="R60" s="411"/>
      <c r="S60" s="407">
        <v>70676</v>
      </c>
      <c r="T60" s="404">
        <f>'[3]Combined Overview'!X$163</f>
        <v>43271.7</v>
      </c>
      <c r="U60" s="404">
        <f>'[4]6-Hm FY21 Budget Variance (P&amp;L)'!G63</f>
        <v>51925.7</v>
      </c>
      <c r="V60" s="404">
        <v>51926.04</v>
      </c>
      <c r="Z60" s="433"/>
    </row>
    <row r="61" spans="2:26" x14ac:dyDescent="0.25">
      <c r="B61" s="435">
        <v>5424</v>
      </c>
      <c r="C61" s="418" t="s">
        <v>303</v>
      </c>
      <c r="D61" s="404">
        <f>'[3]Combined Overview'!I$161</f>
        <v>29.616538461538461</v>
      </c>
      <c r="E61" s="404">
        <f>'[3]Combined Overview'!J$161</f>
        <v>29.616538461538461</v>
      </c>
      <c r="F61" s="404">
        <f>'[3]Combined Overview'!K$161</f>
        <v>29.616538461538461</v>
      </c>
      <c r="G61" s="404">
        <f>'[3]Combined Overview'!L$161</f>
        <v>29.616538461538461</v>
      </c>
      <c r="H61" s="404">
        <f>'[3]Combined Overview'!M$161</f>
        <v>29.616538461538461</v>
      </c>
      <c r="I61" s="404">
        <f>'[3]Combined Overview'!N$161</f>
        <v>29.616538461538461</v>
      </c>
      <c r="J61" s="404">
        <f>'[3]Combined Overview'!O$161</f>
        <v>29.616538461538461</v>
      </c>
      <c r="K61" s="404">
        <f>'[3]Combined Overview'!P$161</f>
        <v>29.616538461538461</v>
      </c>
      <c r="L61" s="404">
        <f>'[3]Combined Overview'!Q$161</f>
        <v>29.616538461538461</v>
      </c>
      <c r="M61" s="404">
        <f>'[3]Combined Overview'!R$161</f>
        <v>29.616538461538461</v>
      </c>
      <c r="N61" s="404">
        <f>'[3]Combined Overview'!S$161</f>
        <v>29.616538461538461</v>
      </c>
      <c r="O61" s="404">
        <f>'[3]Combined Overview'!T$161</f>
        <v>29.616538461538461</v>
      </c>
      <c r="P61" s="470">
        <f t="shared" si="2"/>
        <v>356</v>
      </c>
      <c r="Q61" s="444"/>
      <c r="R61" s="411"/>
      <c r="S61" s="407">
        <v>356</v>
      </c>
      <c r="T61" s="404">
        <f>'[3]Combined Overview'!X$161</f>
        <v>296.2</v>
      </c>
      <c r="U61" s="404">
        <f>'[4]6-Hm FY21 Budget Variance (P&amp;L)'!G64</f>
        <v>355.44</v>
      </c>
      <c r="V61" s="404">
        <v>355.44</v>
      </c>
      <c r="Z61" s="433"/>
    </row>
    <row r="62" spans="2:26" x14ac:dyDescent="0.25">
      <c r="B62" s="435">
        <v>5425</v>
      </c>
      <c r="C62" s="418" t="s">
        <v>304</v>
      </c>
      <c r="D62" s="404">
        <f>'[3]Combined Overview'!I$162</f>
        <v>699.9666666666667</v>
      </c>
      <c r="E62" s="404">
        <f>'[3]Combined Overview'!J$162</f>
        <v>699.9666666666667</v>
      </c>
      <c r="F62" s="404">
        <f>'[3]Combined Overview'!K$162</f>
        <v>699.9666666666667</v>
      </c>
      <c r="G62" s="404">
        <f>'[3]Combined Overview'!L$162</f>
        <v>699.9666666666667</v>
      </c>
      <c r="H62" s="404">
        <f>'[3]Combined Overview'!M$162</f>
        <v>699.9666666666667</v>
      </c>
      <c r="I62" s="404">
        <f>'[3]Combined Overview'!N$162</f>
        <v>699.9666666666667</v>
      </c>
      <c r="J62" s="404">
        <f>'[3]Combined Overview'!O$162</f>
        <v>699.9666666666667</v>
      </c>
      <c r="K62" s="404">
        <f>'[3]Combined Overview'!P$162</f>
        <v>699.9666666666667</v>
      </c>
      <c r="L62" s="404">
        <f>'[3]Combined Overview'!Q$162</f>
        <v>699.9666666666667</v>
      </c>
      <c r="M62" s="404">
        <f>'[3]Combined Overview'!R$162</f>
        <v>699.9666666666667</v>
      </c>
      <c r="N62" s="404">
        <f>'[3]Combined Overview'!S$162</f>
        <v>699.9666666666667</v>
      </c>
      <c r="O62" s="404">
        <f>'[3]Combined Overview'!T$162</f>
        <v>699.9666666666667</v>
      </c>
      <c r="P62" s="470">
        <f t="shared" si="2"/>
        <v>8400</v>
      </c>
      <c r="Q62" s="444"/>
      <c r="R62" s="411"/>
      <c r="S62" s="407">
        <v>8400</v>
      </c>
      <c r="T62" s="404">
        <f>'[3]Combined Overview'!X$162</f>
        <v>6999.7</v>
      </c>
      <c r="U62" s="404">
        <f>'[4]6-Hm FY21 Budget Variance (P&amp;L)'!G65</f>
        <v>8399.64</v>
      </c>
      <c r="V62" s="404">
        <v>8399.64</v>
      </c>
      <c r="Z62" s="433"/>
    </row>
    <row r="63" spans="2:26" x14ac:dyDescent="0.25">
      <c r="B63" s="435">
        <v>5423</v>
      </c>
      <c r="C63" s="418" t="s">
        <v>305</v>
      </c>
      <c r="D63" s="404">
        <f>'[3]Combined Overview'!I$160</f>
        <v>892.51380952380941</v>
      </c>
      <c r="E63" s="404">
        <f>'[3]Combined Overview'!J$160</f>
        <v>892.51380952380941</v>
      </c>
      <c r="F63" s="404">
        <f>'[3]Combined Overview'!K$160</f>
        <v>892.51380952380941</v>
      </c>
      <c r="G63" s="404">
        <f>'[3]Combined Overview'!L$160</f>
        <v>892.51380952380941</v>
      </c>
      <c r="H63" s="404">
        <f>'[3]Combined Overview'!M$160</f>
        <v>892.51380952380941</v>
      </c>
      <c r="I63" s="404">
        <f>'[3]Combined Overview'!N$160</f>
        <v>892.51380952380941</v>
      </c>
      <c r="J63" s="404">
        <f>'[3]Combined Overview'!O$160</f>
        <v>892.51380952380941</v>
      </c>
      <c r="K63" s="404">
        <f>'[3]Combined Overview'!P$160</f>
        <v>892.51380952380941</v>
      </c>
      <c r="L63" s="404">
        <f>'[3]Combined Overview'!Q$160</f>
        <v>892.51380952380941</v>
      </c>
      <c r="M63" s="404">
        <f>'[3]Combined Overview'!R$160</f>
        <v>892.51380952380941</v>
      </c>
      <c r="N63" s="404">
        <f>'[3]Combined Overview'!S$160</f>
        <v>892.51380952380941</v>
      </c>
      <c r="O63" s="404">
        <f>'[3]Combined Overview'!T$160</f>
        <v>892.51380952380941</v>
      </c>
      <c r="P63" s="470">
        <f t="shared" si="2"/>
        <v>10711</v>
      </c>
      <c r="Q63" s="444"/>
      <c r="R63" s="411"/>
      <c r="S63" s="407">
        <v>10711</v>
      </c>
      <c r="T63" s="404">
        <f>'[3]Combined Overview'!X$160</f>
        <v>8925</v>
      </c>
      <c r="U63" s="404">
        <f>'[4]6-Hm FY21 Budget Variance (P&amp;L)'!$G$66</f>
        <v>10710</v>
      </c>
      <c r="V63" s="404">
        <v>3219.6</v>
      </c>
      <c r="Z63" s="433"/>
    </row>
    <row r="64" spans="2:26" x14ac:dyDescent="0.25">
      <c r="B64" s="435">
        <v>5427</v>
      </c>
      <c r="C64" s="418" t="s">
        <v>514</v>
      </c>
      <c r="D64" s="404">
        <f>'[3]Combined Overview'!I$164</f>
        <v>0</v>
      </c>
      <c r="E64" s="404">
        <f>'[3]Combined Overview'!J$164</f>
        <v>0</v>
      </c>
      <c r="F64" s="404">
        <f>'[3]Combined Overview'!K$164</f>
        <v>0</v>
      </c>
      <c r="G64" s="404">
        <f>'[3]Combined Overview'!L$164</f>
        <v>0</v>
      </c>
      <c r="H64" s="404">
        <f>'[3]Combined Overview'!M$164</f>
        <v>0</v>
      </c>
      <c r="I64" s="404">
        <f>'[3]Combined Overview'!N$164</f>
        <v>0</v>
      </c>
      <c r="J64" s="404">
        <f>'[3]Combined Overview'!O$164</f>
        <v>0</v>
      </c>
      <c r="K64" s="404">
        <f>'[3]Combined Overview'!P$164</f>
        <v>0</v>
      </c>
      <c r="L64" s="404">
        <f>'[3]Combined Overview'!Q$164</f>
        <v>0</v>
      </c>
      <c r="M64" s="404">
        <f>'[3]Combined Overview'!R$164</f>
        <v>0</v>
      </c>
      <c r="N64" s="404">
        <f>'[3]Combined Overview'!S$164</f>
        <v>0</v>
      </c>
      <c r="O64" s="404">
        <f>'[3]Combined Overview'!T$164</f>
        <v>0</v>
      </c>
      <c r="P64" s="470">
        <f t="shared" si="2"/>
        <v>0</v>
      </c>
      <c r="Q64" s="444"/>
      <c r="R64" s="411"/>
      <c r="S64" s="407">
        <v>0</v>
      </c>
      <c r="T64" s="404">
        <f>'[3]Combined Overview'!X$164</f>
        <v>0</v>
      </c>
      <c r="U64" s="404">
        <v>0</v>
      </c>
      <c r="V64" s="404">
        <v>0</v>
      </c>
      <c r="Z64" s="433"/>
    </row>
    <row r="65" spans="2:26" x14ac:dyDescent="0.25">
      <c r="B65" s="435">
        <v>5422</v>
      </c>
      <c r="C65" s="418" t="s">
        <v>307</v>
      </c>
      <c r="D65" s="404">
        <f>'[3]Combined Overview'!I$159</f>
        <v>858.33333333333337</v>
      </c>
      <c r="E65" s="404">
        <f>'[3]Combined Overview'!J$159</f>
        <v>858.33333333333337</v>
      </c>
      <c r="F65" s="404">
        <f>'[3]Combined Overview'!K$159</f>
        <v>858.33333333333337</v>
      </c>
      <c r="G65" s="404">
        <f>'[3]Combined Overview'!L$159</f>
        <v>858.33333333333337</v>
      </c>
      <c r="H65" s="404">
        <f>'[3]Combined Overview'!M$159</f>
        <v>858.33333333333337</v>
      </c>
      <c r="I65" s="404">
        <f>'[3]Combined Overview'!N$159</f>
        <v>858.33333333333337</v>
      </c>
      <c r="J65" s="404">
        <f>'[3]Combined Overview'!O$159</f>
        <v>858.33333333333337</v>
      </c>
      <c r="K65" s="404">
        <f>'[3]Combined Overview'!P$159</f>
        <v>858.33333333333337</v>
      </c>
      <c r="L65" s="404">
        <f>'[3]Combined Overview'!Q$159</f>
        <v>858.33333333333337</v>
      </c>
      <c r="M65" s="404">
        <f>'[3]Combined Overview'!R$159</f>
        <v>858.33333333333337</v>
      </c>
      <c r="N65" s="404">
        <f>'[3]Combined Overview'!S$159</f>
        <v>858.33333333333337</v>
      </c>
      <c r="O65" s="404">
        <f>'[3]Combined Overview'!T$159</f>
        <v>858.33333333333337</v>
      </c>
      <c r="P65" s="470">
        <f t="shared" si="2"/>
        <v>10300</v>
      </c>
      <c r="Q65" s="437"/>
      <c r="R65" s="411"/>
      <c r="S65" s="407">
        <v>10300</v>
      </c>
      <c r="T65" s="404">
        <f>'[3]Combined Overview'!X$159</f>
        <v>8583.2999999999993</v>
      </c>
      <c r="U65" s="404">
        <f>'[4]6-Hm FY21 Budget Variance (P&amp;L)'!G68</f>
        <v>10299.959999999999</v>
      </c>
      <c r="V65" s="404">
        <v>10299.959999999999</v>
      </c>
      <c r="Z65" s="433"/>
    </row>
    <row r="66" spans="2:26" x14ac:dyDescent="0.25">
      <c r="B66" s="435">
        <v>5428</v>
      </c>
      <c r="C66" s="418" t="s">
        <v>308</v>
      </c>
      <c r="D66" s="404">
        <f>'[3]Combined Overview'!I$165</f>
        <v>50</v>
      </c>
      <c r="E66" s="404">
        <f>'[3]Combined Overview'!J$165</f>
        <v>50</v>
      </c>
      <c r="F66" s="404">
        <f>'[3]Combined Overview'!K$165</f>
        <v>50</v>
      </c>
      <c r="G66" s="404">
        <f>'[3]Combined Overview'!L$165</f>
        <v>50</v>
      </c>
      <c r="H66" s="404">
        <f>'[3]Combined Overview'!M$165</f>
        <v>50</v>
      </c>
      <c r="I66" s="404">
        <f>'[3]Combined Overview'!N$165</f>
        <v>50</v>
      </c>
      <c r="J66" s="404">
        <f>'[3]Combined Overview'!O$165</f>
        <v>50</v>
      </c>
      <c r="K66" s="404">
        <f>'[3]Combined Overview'!P$165</f>
        <v>50</v>
      </c>
      <c r="L66" s="404">
        <f>'[3]Combined Overview'!Q$165</f>
        <v>50</v>
      </c>
      <c r="M66" s="404">
        <f>'[3]Combined Overview'!R$165</f>
        <v>50</v>
      </c>
      <c r="N66" s="404">
        <f>'[3]Combined Overview'!S$165</f>
        <v>50</v>
      </c>
      <c r="O66" s="404">
        <f>'[3]Combined Overview'!T$165</f>
        <v>50</v>
      </c>
      <c r="P66" s="470">
        <f t="shared" si="2"/>
        <v>600</v>
      </c>
      <c r="Q66" s="420"/>
      <c r="R66" s="411"/>
      <c r="S66" s="407">
        <v>600</v>
      </c>
      <c r="T66" s="404">
        <f>'[3]Combined Overview'!X$165</f>
        <v>0</v>
      </c>
      <c r="U66" s="404">
        <f>'[4]6-Hm FY21 Budget Variance (P&amp;L)'!G69</f>
        <v>0</v>
      </c>
      <c r="V66" s="404">
        <v>533.28</v>
      </c>
      <c r="Z66" s="433"/>
    </row>
    <row r="67" spans="2:26" x14ac:dyDescent="0.25">
      <c r="B67" s="439" t="s">
        <v>309</v>
      </c>
      <c r="C67" s="418" t="s">
        <v>149</v>
      </c>
      <c r="D67" s="404">
        <f>'[3]Combined Overview'!I$118+'[3]Combined Overview'!I$185+'[3]Combined Overview'!I$224</f>
        <v>4443.958333333333</v>
      </c>
      <c r="E67" s="404">
        <f>'[3]Combined Overview'!J$118+'[3]Combined Overview'!J$185+'[3]Combined Overview'!J$224</f>
        <v>3463.958333333333</v>
      </c>
      <c r="F67" s="404">
        <f>'[3]Combined Overview'!K$118+'[3]Combined Overview'!K$185+'[3]Combined Overview'!K$224</f>
        <v>3483.958333333333</v>
      </c>
      <c r="G67" s="404">
        <f>'[3]Combined Overview'!L$118+'[3]Combined Overview'!L$185+'[3]Combined Overview'!L$224</f>
        <v>4583.958333333333</v>
      </c>
      <c r="H67" s="404">
        <f>'[3]Combined Overview'!M$118+'[3]Combined Overview'!M$185+'[3]Combined Overview'!M$224</f>
        <v>3583.958333333333</v>
      </c>
      <c r="I67" s="404">
        <f>'[3]Combined Overview'!N$118+'[3]Combined Overview'!N$185+'[3]Combined Overview'!N$224</f>
        <v>3583.958333333333</v>
      </c>
      <c r="J67" s="404">
        <f>'[3]Combined Overview'!O$118+'[3]Combined Overview'!O$185+'[3]Combined Overview'!O$224</f>
        <v>3733.958333333333</v>
      </c>
      <c r="K67" s="404">
        <f>'[3]Combined Overview'!P$118+'[3]Combined Overview'!P$185+'[3]Combined Overview'!P$224</f>
        <v>3483.958333333333</v>
      </c>
      <c r="L67" s="404">
        <f>'[3]Combined Overview'!Q$118+'[3]Combined Overview'!Q$185+'[3]Combined Overview'!Q$224</f>
        <v>3738.958333333333</v>
      </c>
      <c r="M67" s="404">
        <f>'[3]Combined Overview'!R$118+'[3]Combined Overview'!R$185+'[3]Combined Overview'!R$224</f>
        <v>3673.958333333333</v>
      </c>
      <c r="N67" s="404">
        <f>'[3]Combined Overview'!S$118+'[3]Combined Overview'!S$185+'[3]Combined Overview'!S$224</f>
        <v>3673.958333333333</v>
      </c>
      <c r="O67" s="404">
        <f>'[3]Combined Overview'!T$118+'[3]Combined Overview'!T$185+'[3]Combined Overview'!T$224</f>
        <v>-9326.0416666666661</v>
      </c>
      <c r="P67" s="470">
        <f t="shared" si="2"/>
        <v>32123</v>
      </c>
      <c r="Q67" s="420"/>
      <c r="R67" s="411"/>
      <c r="S67" s="407">
        <v>45123</v>
      </c>
      <c r="T67" s="404">
        <f>'[3]Combined Overview'!X$118+'[3]Combined Overview'!X$185+'[3]Combined Overview'!X$224</f>
        <v>22678.870000000003</v>
      </c>
      <c r="U67" s="404">
        <f>'[4]6-Hm FY21 Budget Variance (P&amp;L)'!G70</f>
        <v>23223.870000000003</v>
      </c>
      <c r="V67" s="404">
        <v>23931.5</v>
      </c>
      <c r="Z67" s="433"/>
    </row>
    <row r="68" spans="2:26" x14ac:dyDescent="0.25">
      <c r="B68" s="446">
        <v>6560</v>
      </c>
      <c r="C68" s="418" t="s">
        <v>150</v>
      </c>
      <c r="D68" s="404">
        <f>'[3]Combined Overview'!I$114</f>
        <v>10691.299789624998</v>
      </c>
      <c r="E68" s="404">
        <f>'[3]Combined Overview'!J$114</f>
        <v>10691.299789624998</v>
      </c>
      <c r="F68" s="404">
        <f>'[3]Combined Overview'!K$114</f>
        <v>10691.299789624998</v>
      </c>
      <c r="G68" s="404">
        <f>'[3]Combined Overview'!L$114</f>
        <v>10691.299789624998</v>
      </c>
      <c r="H68" s="404">
        <f>'[3]Combined Overview'!M$114</f>
        <v>10691.299789624998</v>
      </c>
      <c r="I68" s="404">
        <f>'[3]Combined Overview'!N$114</f>
        <v>10691.299789624998</v>
      </c>
      <c r="J68" s="404">
        <f>'[3]Combined Overview'!O$114</f>
        <v>11048.694789624999</v>
      </c>
      <c r="K68" s="404">
        <f>'[3]Combined Overview'!P$114</f>
        <v>11048.694789624999</v>
      </c>
      <c r="L68" s="404">
        <f>'[3]Combined Overview'!Q$114</f>
        <v>11048.694789624999</v>
      </c>
      <c r="M68" s="404">
        <f>'[3]Combined Overview'!R$114</f>
        <v>11864.009789624999</v>
      </c>
      <c r="N68" s="404">
        <f>'[3]Combined Overview'!S$114</f>
        <v>11864.009789624999</v>
      </c>
      <c r="O68" s="404">
        <f>'[3]Combined Overview'!T$114</f>
        <v>11864.009789624999</v>
      </c>
      <c r="P68" s="470">
        <f t="shared" si="2"/>
        <v>132886</v>
      </c>
      <c r="Q68" s="437"/>
      <c r="R68" s="411"/>
      <c r="S68" s="407">
        <v>146071</v>
      </c>
      <c r="T68" s="404">
        <f>'[3]Combined Overview'!X$114</f>
        <v>100251.58</v>
      </c>
      <c r="U68" s="404">
        <f>'[4]6-Hm FY21 Budget Variance (P&amp;L)'!G71</f>
        <v>128728.1</v>
      </c>
      <c r="V68" s="404">
        <v>128377.88</v>
      </c>
      <c r="Z68" s="433"/>
    </row>
    <row r="69" spans="2:26" x14ac:dyDescent="0.25">
      <c r="B69" s="435" t="s">
        <v>310</v>
      </c>
      <c r="C69" s="418" t="s">
        <v>461</v>
      </c>
      <c r="D69" s="404">
        <f>+'[3]Combined Overview'!I$109+'[3]Combined Overview'!I$180+'[3]Combined Overview'!I$216</f>
        <v>2326.2197066666668</v>
      </c>
      <c r="E69" s="404">
        <f>+'[3]Combined Overview'!J$109+'[3]Combined Overview'!J$180+'[3]Combined Overview'!J$216</f>
        <v>3326.2197066666668</v>
      </c>
      <c r="F69" s="404">
        <f>+'[3]Combined Overview'!K$109+'[3]Combined Overview'!K$180+'[3]Combined Overview'!K$216</f>
        <v>2326.2197066666668</v>
      </c>
      <c r="G69" s="404">
        <f>+'[3]Combined Overview'!L$109+'[3]Combined Overview'!L$180+'[3]Combined Overview'!L$216</f>
        <v>2326.2197066666668</v>
      </c>
      <c r="H69" s="404">
        <f>+'[3]Combined Overview'!M$109+'[3]Combined Overview'!M$180+'[3]Combined Overview'!M$216</f>
        <v>2326.2197066666668</v>
      </c>
      <c r="I69" s="404">
        <f>+'[3]Combined Overview'!N$109+'[3]Combined Overview'!N$180+'[3]Combined Overview'!N$216</f>
        <v>2326.2197066666668</v>
      </c>
      <c r="J69" s="404">
        <f>+'[3]Combined Overview'!O$109+'[3]Combined Overview'!O$180+'[3]Combined Overview'!O$216</f>
        <v>2326.2197066666668</v>
      </c>
      <c r="K69" s="404">
        <f>+'[3]Combined Overview'!P$109+'[3]Combined Overview'!P$180+'[3]Combined Overview'!P$216</f>
        <v>2326.2197066666668</v>
      </c>
      <c r="L69" s="404">
        <f>+'[3]Combined Overview'!Q$109+'[3]Combined Overview'!Q$180+'[3]Combined Overview'!Q$216</f>
        <v>2326.2197066666668</v>
      </c>
      <c r="M69" s="404">
        <f>+'[3]Combined Overview'!R$109+'[3]Combined Overview'!R$180+'[3]Combined Overview'!R$216</f>
        <v>2326.2197066666668</v>
      </c>
      <c r="N69" s="404">
        <f>+'[3]Combined Overview'!S$109+'[3]Combined Overview'!S$180+'[3]Combined Overview'!S$216</f>
        <v>2326.2197066666668</v>
      </c>
      <c r="O69" s="404">
        <f>+'[3]Combined Overview'!T$109+'[3]Combined Overview'!T$180+'[3]Combined Overview'!T$216</f>
        <v>2326.2197066666668</v>
      </c>
      <c r="P69" s="470">
        <f t="shared" si="2"/>
        <v>28915</v>
      </c>
      <c r="Q69" s="447"/>
      <c r="R69" s="411"/>
      <c r="S69" s="407">
        <v>36405</v>
      </c>
      <c r="T69" s="404">
        <f>'[3]Combined Overview'!X$109+'[3]Combined Overview'!X$216+'[3]Combined Overview'!X$180</f>
        <v>13884.59</v>
      </c>
      <c r="U69" s="404">
        <f>'[4]6-Hm FY21 Budget Variance (P&amp;L)'!G72</f>
        <v>17884.79</v>
      </c>
      <c r="V69" s="404">
        <v>20921.37</v>
      </c>
      <c r="Z69" s="433"/>
    </row>
    <row r="70" spans="2:26" x14ac:dyDescent="0.25">
      <c r="B70" s="435">
        <v>8300</v>
      </c>
      <c r="C70" s="418" t="s">
        <v>155</v>
      </c>
      <c r="D70" s="404">
        <f>'[3]Combined Overview'!I$223</f>
        <v>2799</v>
      </c>
      <c r="E70" s="404">
        <f>'[3]Combined Overview'!J$223</f>
        <v>1250</v>
      </c>
      <c r="F70" s="404">
        <f>'[3]Combined Overview'!K$223</f>
        <v>1250</v>
      </c>
      <c r="G70" s="404">
        <f>'[3]Combined Overview'!L$223</f>
        <v>2250</v>
      </c>
      <c r="H70" s="404">
        <f>'[3]Combined Overview'!M$223</f>
        <v>2550</v>
      </c>
      <c r="I70" s="404">
        <f>'[3]Combined Overview'!N$223</f>
        <v>1910</v>
      </c>
      <c r="J70" s="404">
        <f>'[3]Combined Overview'!O$223</f>
        <v>1650</v>
      </c>
      <c r="K70" s="404">
        <f>'[3]Combined Overview'!P$223</f>
        <v>2250</v>
      </c>
      <c r="L70" s="404">
        <f>'[3]Combined Overview'!Q$223</f>
        <v>1400</v>
      </c>
      <c r="M70" s="404">
        <f>'[3]Combined Overview'!R$223</f>
        <v>2250</v>
      </c>
      <c r="N70" s="404">
        <f>'[3]Combined Overview'!S$223</f>
        <v>1080</v>
      </c>
      <c r="O70" s="404">
        <f>'[3]Combined Overview'!T$223</f>
        <v>2150</v>
      </c>
      <c r="P70" s="470">
        <f t="shared" si="2"/>
        <v>22789</v>
      </c>
      <c r="Q70" s="448" t="s">
        <v>515</v>
      </c>
      <c r="R70" s="411"/>
      <c r="S70" s="407">
        <v>22789</v>
      </c>
      <c r="T70" s="404">
        <f>'[3]Combined Overview'!X$223</f>
        <v>5044.9799999999996</v>
      </c>
      <c r="U70" s="404">
        <f>+'[4]6-Hm FY21 Budget Variance (P&amp;L)'!$G$74</f>
        <v>5044.9799999999996</v>
      </c>
      <c r="V70" s="404">
        <v>18395</v>
      </c>
      <c r="Z70" s="433"/>
    </row>
    <row r="71" spans="2:26" x14ac:dyDescent="0.25">
      <c r="B71" s="441">
        <v>5211</v>
      </c>
      <c r="C71" s="418" t="s">
        <v>312</v>
      </c>
      <c r="D71" s="404">
        <f>'[3]Combined Overview'!I$100</f>
        <v>175</v>
      </c>
      <c r="E71" s="404">
        <f>'[3]Combined Overview'!J$100</f>
        <v>175</v>
      </c>
      <c r="F71" s="404">
        <f>'[3]Combined Overview'!K$100</f>
        <v>175</v>
      </c>
      <c r="G71" s="404">
        <f>'[3]Combined Overview'!L$100</f>
        <v>175</v>
      </c>
      <c r="H71" s="404">
        <f>'[3]Combined Overview'!M$100</f>
        <v>175</v>
      </c>
      <c r="I71" s="404">
        <f>'[3]Combined Overview'!N$100</f>
        <v>175</v>
      </c>
      <c r="J71" s="404">
        <f>'[3]Combined Overview'!O$100</f>
        <v>175</v>
      </c>
      <c r="K71" s="404">
        <f>'[3]Combined Overview'!P$100</f>
        <v>25</v>
      </c>
      <c r="L71" s="404">
        <f>'[3]Combined Overview'!Q$100</f>
        <v>25</v>
      </c>
      <c r="M71" s="404">
        <f>'[3]Combined Overview'!R$100</f>
        <v>25</v>
      </c>
      <c r="N71" s="404">
        <f>'[3]Combined Overview'!S$100</f>
        <v>25</v>
      </c>
      <c r="O71" s="404">
        <f>'[3]Combined Overview'!T$100</f>
        <v>25</v>
      </c>
      <c r="P71" s="470">
        <f t="shared" si="2"/>
        <v>1350</v>
      </c>
      <c r="Q71" s="437"/>
      <c r="R71" s="411"/>
      <c r="S71" s="407">
        <v>1350</v>
      </c>
      <c r="T71" s="404">
        <f>'[3]Combined Overview'!X$100</f>
        <v>806.85</v>
      </c>
      <c r="U71" s="404">
        <f>'[4]6-Hm FY21 Budget Variance (P&amp;L)'!G75</f>
        <v>806.85</v>
      </c>
      <c r="V71" s="404">
        <v>1200</v>
      </c>
      <c r="Z71" s="433"/>
    </row>
    <row r="72" spans="2:26" x14ac:dyDescent="0.25">
      <c r="B72" s="435">
        <v>5410</v>
      </c>
      <c r="C72" s="418" t="s">
        <v>158</v>
      </c>
      <c r="D72" s="404">
        <f>'[3]Combined Overview'!I$157</f>
        <v>2590.4</v>
      </c>
      <c r="E72" s="404">
        <f>'[3]Combined Overview'!J$157</f>
        <v>2657.8</v>
      </c>
      <c r="F72" s="404">
        <f>'[3]Combined Overview'!K$157</f>
        <v>2639.11</v>
      </c>
      <c r="G72" s="404">
        <f>'[3]Combined Overview'!L$157</f>
        <v>2535.83</v>
      </c>
      <c r="H72" s="404">
        <f>'[3]Combined Overview'!M$157</f>
        <v>2601.1999999999998</v>
      </c>
      <c r="I72" s="404">
        <f>'[3]Combined Overview'!N$157</f>
        <v>2498.9899999999998</v>
      </c>
      <c r="J72" s="404">
        <f>'[3]Combined Overview'!O$157</f>
        <v>2562.9899999999998</v>
      </c>
      <c r="K72" s="404">
        <f>'[3]Combined Overview'!P$157</f>
        <v>2543.94</v>
      </c>
      <c r="L72" s="404">
        <f>'[3]Combined Overview'!Q$157</f>
        <v>2280.48</v>
      </c>
      <c r="M72" s="404">
        <f>'[3]Combined Overview'!R$157</f>
        <v>14504.67</v>
      </c>
      <c r="N72" s="404">
        <f>'[3]Combined Overview'!S$157</f>
        <v>14405.22</v>
      </c>
      <c r="O72" s="404">
        <f>'[3]Combined Overview'!T$157</f>
        <v>14465.73</v>
      </c>
      <c r="P72" s="470">
        <f t="shared" ref="P72:P118" si="3">(ROUNDUP(SUM(D72:O72),0))</f>
        <v>66287</v>
      </c>
      <c r="Q72" s="437"/>
      <c r="R72" s="411"/>
      <c r="S72" s="407">
        <v>30287</v>
      </c>
      <c r="T72" s="404">
        <f>'[3]Combined Overview'!X$157</f>
        <v>24965.29</v>
      </c>
      <c r="U72" s="404">
        <f>'[4]6-Hm FY21 Budget Variance (P&amp;L)'!G76</f>
        <v>29765.29</v>
      </c>
      <c r="V72" s="404">
        <v>33019.599999999999</v>
      </c>
      <c r="Z72" s="433"/>
    </row>
    <row r="73" spans="2:26" x14ac:dyDescent="0.25">
      <c r="B73" s="441">
        <v>5220</v>
      </c>
      <c r="C73" s="418" t="s">
        <v>159</v>
      </c>
      <c r="D73" s="404">
        <f>'[3]Combined Overview'!I$106</f>
        <v>21250</v>
      </c>
      <c r="E73" s="404">
        <f>'[3]Combined Overview'!J$106</f>
        <v>0</v>
      </c>
      <c r="F73" s="404">
        <f>'[3]Combined Overview'!K$106</f>
        <v>0</v>
      </c>
      <c r="G73" s="404">
        <f>'[3]Combined Overview'!L$106</f>
        <v>21250</v>
      </c>
      <c r="H73" s="404">
        <f>'[3]Combined Overview'!M$106</f>
        <v>0</v>
      </c>
      <c r="I73" s="404">
        <f>'[3]Combined Overview'!N$106</f>
        <v>0</v>
      </c>
      <c r="J73" s="404">
        <f>'[3]Combined Overview'!O$106</f>
        <v>21250</v>
      </c>
      <c r="K73" s="404">
        <f>'[3]Combined Overview'!P$106</f>
        <v>0</v>
      </c>
      <c r="L73" s="404">
        <f>'[3]Combined Overview'!Q$106</f>
        <v>0</v>
      </c>
      <c r="M73" s="404">
        <f>'[3]Combined Overview'!R$106</f>
        <v>21250</v>
      </c>
      <c r="N73" s="404">
        <f>'[3]Combined Overview'!S$106</f>
        <v>0</v>
      </c>
      <c r="O73" s="404">
        <f>'[3]Combined Overview'!T$106</f>
        <v>0</v>
      </c>
      <c r="P73" s="470">
        <f t="shared" si="3"/>
        <v>85000</v>
      </c>
      <c r="Q73" s="437"/>
      <c r="R73" s="411"/>
      <c r="S73" s="407">
        <v>85000</v>
      </c>
      <c r="T73" s="404">
        <f>'[3]Combined Overview'!X$106</f>
        <v>72007.7</v>
      </c>
      <c r="U73" s="404">
        <f>'[4]6-Hm FY21 Budget Variance (P&amp;L)'!G77</f>
        <v>92007.7</v>
      </c>
      <c r="V73" s="404">
        <v>70000</v>
      </c>
      <c r="Z73" s="433"/>
    </row>
    <row r="74" spans="2:26" x14ac:dyDescent="0.25">
      <c r="B74" s="439" t="s">
        <v>313</v>
      </c>
      <c r="C74" s="418" t="s">
        <v>160</v>
      </c>
      <c r="D74" s="404">
        <f>'[3]Combined Overview'!I$149+'[3]Combined Overview'!I$203+'[3]Combined Overview'!I$243</f>
        <v>3417.3333333333335</v>
      </c>
      <c r="E74" s="404">
        <f>'[3]Combined Overview'!J$149+'[3]Combined Overview'!J$203+'[3]Combined Overview'!J$243</f>
        <v>4767.3333333333339</v>
      </c>
      <c r="F74" s="404">
        <f>'[3]Combined Overview'!K$149+'[3]Combined Overview'!K$203+'[3]Combined Overview'!K$243</f>
        <v>3192.3333333333335</v>
      </c>
      <c r="G74" s="404">
        <f>'[3]Combined Overview'!L$149+'[3]Combined Overview'!L$203+'[3]Combined Overview'!L$243</f>
        <v>2967.3333333333335</v>
      </c>
      <c r="H74" s="404">
        <f>'[3]Combined Overview'!M$149+'[3]Combined Overview'!M$203+'[3]Combined Overview'!M$243</f>
        <v>2967.3333333333335</v>
      </c>
      <c r="I74" s="404">
        <f>'[3]Combined Overview'!N$149+'[3]Combined Overview'!N$203+'[3]Combined Overview'!N$243</f>
        <v>2967.3333333333335</v>
      </c>
      <c r="J74" s="404">
        <f>'[3]Combined Overview'!O$149+'[3]Combined Overview'!O$203+'[3]Combined Overview'!O$243</f>
        <v>2967.3333333333335</v>
      </c>
      <c r="K74" s="404">
        <f>'[3]Combined Overview'!P$149+'[3]Combined Overview'!P$203+'[3]Combined Overview'!P$243</f>
        <v>2967.3333333333335</v>
      </c>
      <c r="L74" s="404">
        <f>'[3]Combined Overview'!Q$149+'[3]Combined Overview'!Q$203+'[3]Combined Overview'!Q$243</f>
        <v>2967.3333333333335</v>
      </c>
      <c r="M74" s="404">
        <f>'[3]Combined Overview'!R$149+'[3]Combined Overview'!R$203+'[3]Combined Overview'!R$243</f>
        <v>12967.333333333334</v>
      </c>
      <c r="N74" s="404">
        <f>'[3]Combined Overview'!S$149+'[3]Combined Overview'!S$203+'[3]Combined Overview'!S$243</f>
        <v>2967.3333333333335</v>
      </c>
      <c r="O74" s="404">
        <f>'[3]Combined Overview'!T$149+'[3]Combined Overview'!T$203+'[3]Combined Overview'!T$243</f>
        <v>2967.3333333333335</v>
      </c>
      <c r="P74" s="470">
        <f t="shared" si="3"/>
        <v>48083</v>
      </c>
      <c r="Q74" s="420"/>
      <c r="R74" s="411"/>
      <c r="S74" s="407">
        <v>48083</v>
      </c>
      <c r="T74" s="404">
        <f>'[3]Combined Overview'!X$149+'[3]Combined Overview'!X$203+'[3]Combined Overview'!X$243</f>
        <v>31384.18</v>
      </c>
      <c r="U74" s="404">
        <f>'[4]6-Hm FY21 Budget Variance (P&amp;L)'!G78</f>
        <v>39784.18</v>
      </c>
      <c r="V74" s="404">
        <v>46060.33</v>
      </c>
      <c r="Z74" s="433"/>
    </row>
    <row r="75" spans="2:26" x14ac:dyDescent="0.25">
      <c r="B75" s="439" t="s">
        <v>314</v>
      </c>
      <c r="C75" s="418" t="s">
        <v>315</v>
      </c>
      <c r="D75" s="404">
        <f>'[3]Combined Overview'!I$132+'[3]Combined Overview'!I$197+'[3]Combined Overview'!I$234</f>
        <v>1236.0833333333335</v>
      </c>
      <c r="E75" s="404">
        <f>'[3]Combined Overview'!J$132+'[3]Combined Overview'!J$197+'[3]Combined Overview'!J$234</f>
        <v>1236.0833333333335</v>
      </c>
      <c r="F75" s="404">
        <f>'[3]Combined Overview'!K$132+'[3]Combined Overview'!K$197+'[3]Combined Overview'!K$234</f>
        <v>1236.0833333333335</v>
      </c>
      <c r="G75" s="404">
        <f>'[3]Combined Overview'!L$132+'[3]Combined Overview'!L$197+'[3]Combined Overview'!L$234</f>
        <v>1236.0833333333335</v>
      </c>
      <c r="H75" s="404">
        <f>'[3]Combined Overview'!M$132+'[3]Combined Overview'!M$197+'[3]Combined Overview'!M$234</f>
        <v>1236.0833333333335</v>
      </c>
      <c r="I75" s="404">
        <f>'[3]Combined Overview'!N$132+'[3]Combined Overview'!N$197+'[3]Combined Overview'!N$234</f>
        <v>1236.0833333333335</v>
      </c>
      <c r="J75" s="404">
        <f>'[3]Combined Overview'!O$132+'[3]Combined Overview'!O$197+'[3]Combined Overview'!O$234</f>
        <v>1236.0833333333335</v>
      </c>
      <c r="K75" s="404">
        <f>'[3]Combined Overview'!P$132+'[3]Combined Overview'!P$197+'[3]Combined Overview'!P$234</f>
        <v>1236.0833333333335</v>
      </c>
      <c r="L75" s="404">
        <f>'[3]Combined Overview'!Q$132+'[3]Combined Overview'!Q$197+'[3]Combined Overview'!Q$234</f>
        <v>1736.0833333333335</v>
      </c>
      <c r="M75" s="404">
        <f>'[3]Combined Overview'!R$132+'[3]Combined Overview'!R$197+'[3]Combined Overview'!R$234</f>
        <v>1736.0833333333335</v>
      </c>
      <c r="N75" s="404">
        <f>'[3]Combined Overview'!S$132+'[3]Combined Overview'!S$197+'[3]Combined Overview'!S$234</f>
        <v>1736.0833333333335</v>
      </c>
      <c r="O75" s="404">
        <f>'[3]Combined Overview'!T$132+'[3]Combined Overview'!T$197+'[3]Combined Overview'!T$234</f>
        <v>1736.0833333333335</v>
      </c>
      <c r="P75" s="470">
        <f t="shared" si="3"/>
        <v>16833</v>
      </c>
      <c r="Q75" s="420"/>
      <c r="R75" s="411"/>
      <c r="S75" s="407">
        <v>16833</v>
      </c>
      <c r="T75" s="404">
        <f>'[3]Combined Overview'!X$132+'[3]Combined Overview'!X$197+'[3]Combined Overview'!X$234</f>
        <v>13438.300000000001</v>
      </c>
      <c r="U75" s="404">
        <f>'[4]6-Hm FY21 Budget Variance (P&amp;L)'!G79</f>
        <v>15708.300000000001</v>
      </c>
      <c r="V75" s="404">
        <v>13079</v>
      </c>
      <c r="Z75" s="433"/>
    </row>
    <row r="76" spans="2:26" x14ac:dyDescent="0.25">
      <c r="B76" s="439"/>
      <c r="C76" s="474" t="s">
        <v>473</v>
      </c>
      <c r="D76" s="404"/>
      <c r="E76" s="404"/>
      <c r="F76" s="404"/>
      <c r="G76" s="404"/>
      <c r="H76" s="404"/>
      <c r="I76" s="404"/>
      <c r="J76" s="404"/>
      <c r="K76" s="404"/>
      <c r="L76" s="404"/>
      <c r="M76" s="404"/>
      <c r="N76" s="404"/>
      <c r="O76" s="404"/>
      <c r="P76" s="477">
        <f>50000*2</f>
        <v>100000</v>
      </c>
      <c r="Q76" s="420"/>
      <c r="R76" s="411"/>
      <c r="S76" s="407"/>
      <c r="T76" s="404"/>
      <c r="U76" s="404"/>
      <c r="V76" s="404"/>
      <c r="Z76" s="433"/>
    </row>
    <row r="77" spans="2:26" x14ac:dyDescent="0.25">
      <c r="B77" s="439" t="s">
        <v>316</v>
      </c>
      <c r="C77" s="418" t="s">
        <v>162</v>
      </c>
      <c r="D77" s="404">
        <f>'[3]Combined Overview'!I$117+'[3]Combined Overview'!I$186</f>
        <v>163</v>
      </c>
      <c r="E77" s="404">
        <f>'[3]Combined Overview'!J$117+'[3]Combined Overview'!J$186</f>
        <v>167</v>
      </c>
      <c r="F77" s="404">
        <f>'[3]Combined Overview'!K$117+'[3]Combined Overview'!K$186</f>
        <v>167</v>
      </c>
      <c r="G77" s="404">
        <f>'[3]Combined Overview'!L$117+'[3]Combined Overview'!L$186</f>
        <v>167</v>
      </c>
      <c r="H77" s="404">
        <f>'[3]Combined Overview'!M$117+'[3]Combined Overview'!M$186</f>
        <v>167</v>
      </c>
      <c r="I77" s="404">
        <f>'[3]Combined Overview'!N$117+'[3]Combined Overview'!N$186</f>
        <v>167</v>
      </c>
      <c r="J77" s="404">
        <f>'[3]Combined Overview'!O$117+'[3]Combined Overview'!O$186</f>
        <v>167</v>
      </c>
      <c r="K77" s="404">
        <f>'[3]Combined Overview'!P$117+'[3]Combined Overview'!P$186</f>
        <v>167</v>
      </c>
      <c r="L77" s="404">
        <f>'[3]Combined Overview'!Q$117+'[3]Combined Overview'!Q$186</f>
        <v>167</v>
      </c>
      <c r="M77" s="404">
        <f>'[3]Combined Overview'!R$117+'[3]Combined Overview'!R$186</f>
        <v>167</v>
      </c>
      <c r="N77" s="404">
        <f>'[3]Combined Overview'!S$117+'[3]Combined Overview'!S$186</f>
        <v>3167</v>
      </c>
      <c r="O77" s="404">
        <f>'[3]Combined Overview'!T$117+'[3]Combined Overview'!T$186</f>
        <v>1167</v>
      </c>
      <c r="P77" s="470">
        <f t="shared" si="3"/>
        <v>6000</v>
      </c>
      <c r="Q77" s="424" t="s">
        <v>516</v>
      </c>
      <c r="R77" s="411"/>
      <c r="S77" s="407">
        <v>3000</v>
      </c>
      <c r="T77" s="404">
        <f>'[3]Combined Overview'!X$117+'[3]Combined Overview'!X$186</f>
        <v>12807.5</v>
      </c>
      <c r="U77" s="404">
        <f>'[4]6-Hm FY21 Budget Variance (P&amp;L)'!G80</f>
        <v>16307.5</v>
      </c>
      <c r="V77" s="404">
        <v>3475</v>
      </c>
      <c r="Z77" s="433"/>
    </row>
    <row r="78" spans="2:26" ht="18" customHeight="1" x14ac:dyDescent="0.25">
      <c r="B78" s="439" t="s">
        <v>317</v>
      </c>
      <c r="C78" s="418" t="s">
        <v>318</v>
      </c>
      <c r="D78" s="404">
        <f>'[3]Combined Overview'!I$81+'[3]Combined Overview'!I$177+'[3]Combined Overview'!I$213</f>
        <v>2613.0833333333335</v>
      </c>
      <c r="E78" s="404">
        <f>'[3]Combined Overview'!J$81+'[3]Combined Overview'!J$177+'[3]Combined Overview'!J$213</f>
        <v>2613.0833333333335</v>
      </c>
      <c r="F78" s="404">
        <f>'[3]Combined Overview'!K$81+'[3]Combined Overview'!K$177+'[3]Combined Overview'!K$213</f>
        <v>2613.0833333333335</v>
      </c>
      <c r="G78" s="404">
        <f>'[3]Combined Overview'!L$81+'[3]Combined Overview'!L$177+'[3]Combined Overview'!L$213</f>
        <v>2613.0833333333335</v>
      </c>
      <c r="H78" s="404">
        <f>'[3]Combined Overview'!M$81+'[3]Combined Overview'!M$177+'[3]Combined Overview'!M$213</f>
        <v>2613.0833333333335</v>
      </c>
      <c r="I78" s="404">
        <f>'[3]Combined Overview'!N$81+'[3]Combined Overview'!N$177+'[3]Combined Overview'!N$213</f>
        <v>2613.0833333333335</v>
      </c>
      <c r="J78" s="404">
        <f>'[3]Combined Overview'!O$81+'[3]Combined Overview'!O$177+'[3]Combined Overview'!O$213</f>
        <v>2613.0833333333335</v>
      </c>
      <c r="K78" s="404">
        <f>'[3]Combined Overview'!P$81+'[3]Combined Overview'!P$177+'[3]Combined Overview'!P$213</f>
        <v>2613.0833333333335</v>
      </c>
      <c r="L78" s="404">
        <f>'[3]Combined Overview'!Q$81+'[3]Combined Overview'!Q$177+'[3]Combined Overview'!Q$213</f>
        <v>6913.0833333333339</v>
      </c>
      <c r="M78" s="404">
        <f>'[3]Combined Overview'!R$81+'[3]Combined Overview'!R$177+'[3]Combined Overview'!R$213</f>
        <v>3413.0833333333339</v>
      </c>
      <c r="N78" s="404">
        <f>'[3]Combined Overview'!S$81+'[3]Combined Overview'!S$177+'[3]Combined Overview'!S$213</f>
        <v>3413.0833333333339</v>
      </c>
      <c r="O78" s="404">
        <f>'[3]Combined Overview'!T$81+'[3]Combined Overview'!T$177+'[3]Combined Overview'!T$213</f>
        <v>3413.0833333333339</v>
      </c>
      <c r="P78" s="470">
        <f t="shared" si="3"/>
        <v>38057</v>
      </c>
      <c r="Q78" s="449" t="s">
        <v>517</v>
      </c>
      <c r="R78" s="411"/>
      <c r="S78" s="407">
        <v>38057</v>
      </c>
      <c r="T78" s="404">
        <f>'[3]Combined Overview'!X$81+'[3]Combined Overview'!X$177+'[3]Combined Overview'!X$213</f>
        <v>26963.989999999998</v>
      </c>
      <c r="U78" s="404">
        <f>'[4]6-Hm FY21 Budget Variance (P&amp;L)'!G81</f>
        <v>34863.99</v>
      </c>
      <c r="V78" s="404">
        <v>25708</v>
      </c>
      <c r="Z78" s="433"/>
    </row>
    <row r="79" spans="2:26" x14ac:dyDescent="0.25">
      <c r="B79" s="441" t="s">
        <v>518</v>
      </c>
      <c r="C79" s="418" t="s">
        <v>519</v>
      </c>
      <c r="D79" s="404">
        <f>'[3]Combined Overview'!I$90</f>
        <v>0</v>
      </c>
      <c r="E79" s="404">
        <f>'[3]Combined Overview'!J$90</f>
        <v>0</v>
      </c>
      <c r="F79" s="404">
        <f>'[3]Combined Overview'!K$90</f>
        <v>0</v>
      </c>
      <c r="G79" s="404">
        <f>'[3]Combined Overview'!L$90</f>
        <v>0</v>
      </c>
      <c r="H79" s="404">
        <f>'[3]Combined Overview'!M$90</f>
        <v>0</v>
      </c>
      <c r="I79" s="404">
        <f>'[3]Combined Overview'!N$90</f>
        <v>11000</v>
      </c>
      <c r="J79" s="404">
        <f>'[3]Combined Overview'!O$90</f>
        <v>0</v>
      </c>
      <c r="K79" s="404">
        <f>'[3]Combined Overview'!P$90</f>
        <v>0</v>
      </c>
      <c r="L79" s="404">
        <f>'[3]Combined Overview'!Q$90</f>
        <v>0</v>
      </c>
      <c r="M79" s="404">
        <f>'[3]Combined Overview'!R$90</f>
        <v>0</v>
      </c>
      <c r="N79" s="404">
        <f>'[3]Combined Overview'!S$90</f>
        <v>0</v>
      </c>
      <c r="O79" s="404">
        <f>'[3]Combined Overview'!T$90</f>
        <v>0</v>
      </c>
      <c r="P79" s="470">
        <f t="shared" si="3"/>
        <v>11000</v>
      </c>
      <c r="Q79" s="450"/>
      <c r="R79" s="411"/>
      <c r="S79" s="407">
        <v>11000</v>
      </c>
      <c r="T79" s="404">
        <f>'[3]Combined Overview'!X$90</f>
        <v>12590.84</v>
      </c>
      <c r="U79" s="404">
        <f>'[4]6-Hm FY21 Budget Variance (P&amp;L)'!G82</f>
        <v>12590.84</v>
      </c>
      <c r="V79" s="404">
        <v>0</v>
      </c>
      <c r="Z79" s="433"/>
    </row>
    <row r="80" spans="2:26" x14ac:dyDescent="0.25">
      <c r="B80" s="441">
        <v>5214</v>
      </c>
      <c r="C80" s="418" t="s">
        <v>164</v>
      </c>
      <c r="D80" s="404">
        <f>'[3]Combined Overview'!I$102</f>
        <v>850</v>
      </c>
      <c r="E80" s="404">
        <f>'[3]Combined Overview'!J$102</f>
        <v>0</v>
      </c>
      <c r="F80" s="404">
        <f>'[3]Combined Overview'!K$102</f>
        <v>0</v>
      </c>
      <c r="G80" s="404">
        <f>'[3]Combined Overview'!L$102</f>
        <v>0</v>
      </c>
      <c r="H80" s="404">
        <f>'[3]Combined Overview'!M$102</f>
        <v>0</v>
      </c>
      <c r="I80" s="404">
        <f>'[3]Combined Overview'!N$102</f>
        <v>0</v>
      </c>
      <c r="J80" s="404">
        <f>'[3]Combined Overview'!O$102</f>
        <v>1500</v>
      </c>
      <c r="K80" s="404">
        <f>'[3]Combined Overview'!P$102</f>
        <v>1500</v>
      </c>
      <c r="L80" s="404">
        <f>'[3]Combined Overview'!Q$102</f>
        <v>1500</v>
      </c>
      <c r="M80" s="404">
        <f>'[3]Combined Overview'!R$102</f>
        <v>1500</v>
      </c>
      <c r="N80" s="404">
        <f>'[3]Combined Overview'!S$102</f>
        <v>1500</v>
      </c>
      <c r="O80" s="404">
        <f>'[3]Combined Overview'!T$102</f>
        <v>1500</v>
      </c>
      <c r="P80" s="470">
        <f t="shared" si="3"/>
        <v>9850</v>
      </c>
      <c r="Q80" s="451" t="s">
        <v>520</v>
      </c>
      <c r="R80" s="411">
        <v>-15000</v>
      </c>
      <c r="S80" s="407">
        <v>7825</v>
      </c>
      <c r="T80" s="404">
        <f>'[3]Combined Overview'!X$102</f>
        <v>9278.94</v>
      </c>
      <c r="U80" s="404">
        <f>'[4]6-Hm FY21 Budget Variance (P&amp;L)'!G83</f>
        <v>16778.940000000002</v>
      </c>
      <c r="V80" s="404">
        <v>4099</v>
      </c>
      <c r="Z80" s="433"/>
    </row>
    <row r="81" spans="2:26" x14ac:dyDescent="0.25">
      <c r="B81" s="441" t="s">
        <v>319</v>
      </c>
      <c r="C81" s="418" t="s">
        <v>320</v>
      </c>
      <c r="D81" s="404">
        <f>'[3]Combined Overview'!I$152+'[3]Combined Overview'!I$200+'[3]Combined Overview'!I$237</f>
        <v>187</v>
      </c>
      <c r="E81" s="404">
        <f>'[3]Combined Overview'!J$152+'[3]Combined Overview'!J$200+'[3]Combined Overview'!J$237</f>
        <v>187</v>
      </c>
      <c r="F81" s="404">
        <f>'[3]Combined Overview'!K$152+'[3]Combined Overview'!K$200+'[3]Combined Overview'!K$237</f>
        <v>187</v>
      </c>
      <c r="G81" s="404">
        <f>'[3]Combined Overview'!L$152+'[3]Combined Overview'!L$200+'[3]Combined Overview'!L$237</f>
        <v>187</v>
      </c>
      <c r="H81" s="404">
        <f>'[3]Combined Overview'!M$152+'[3]Combined Overview'!M$200+'[3]Combined Overview'!M$237</f>
        <v>187</v>
      </c>
      <c r="I81" s="404">
        <f>'[3]Combined Overview'!N$152+'[3]Combined Overview'!N$200+'[3]Combined Overview'!N$237</f>
        <v>187</v>
      </c>
      <c r="J81" s="404">
        <f>'[3]Combined Overview'!O$152+'[3]Combined Overview'!O$200+'[3]Combined Overview'!O$237</f>
        <v>187</v>
      </c>
      <c r="K81" s="404">
        <f>'[3]Combined Overview'!P$152+'[3]Combined Overview'!P$200+'[3]Combined Overview'!P$237</f>
        <v>187</v>
      </c>
      <c r="L81" s="404">
        <f>'[3]Combined Overview'!Q$152+'[3]Combined Overview'!Q$200+'[3]Combined Overview'!Q$237</f>
        <v>187</v>
      </c>
      <c r="M81" s="404">
        <f>'[3]Combined Overview'!R$152+'[3]Combined Overview'!R$200+'[3]Combined Overview'!R$237</f>
        <v>187</v>
      </c>
      <c r="N81" s="404">
        <f>'[3]Combined Overview'!S$152+'[3]Combined Overview'!S$200+'[3]Combined Overview'!S$237</f>
        <v>187</v>
      </c>
      <c r="O81" s="404">
        <f>'[3]Combined Overview'!T$152+'[3]Combined Overview'!T$200+'[3]Combined Overview'!T$237</f>
        <v>187</v>
      </c>
      <c r="P81" s="470">
        <f t="shared" si="3"/>
        <v>2244</v>
      </c>
      <c r="Q81" s="437"/>
      <c r="R81" s="411"/>
      <c r="S81" s="407">
        <v>2244</v>
      </c>
      <c r="T81" s="404">
        <f>'[3]Combined Overview'!X$152+'[3]Combined Overview'!X$200+'[3]Combined Overview'!X$237</f>
        <v>1576.04</v>
      </c>
      <c r="U81" s="404">
        <f>'[4]6-Hm FY21 Budget Variance (P&amp;L)'!G84</f>
        <v>1976.04</v>
      </c>
      <c r="V81" s="404">
        <v>1464</v>
      </c>
      <c r="Z81" s="433"/>
    </row>
    <row r="82" spans="2:26" x14ac:dyDescent="0.25">
      <c r="B82" s="439" t="s">
        <v>321</v>
      </c>
      <c r="C82" s="418" t="s">
        <v>166</v>
      </c>
      <c r="D82" s="404">
        <f>'[3]Combined Overview'!I$168+'[3]Combined Overview'!I$209+'[3]Combined Overview'!I$249</f>
        <v>1143.0033333333333</v>
      </c>
      <c r="E82" s="404">
        <f>'[3]Combined Overview'!J$168+'[3]Combined Overview'!J$209+'[3]Combined Overview'!J$249</f>
        <v>1163.0033333333333</v>
      </c>
      <c r="F82" s="404">
        <f>'[3]Combined Overview'!K$168+'[3]Combined Overview'!K$209+'[3]Combined Overview'!K$249</f>
        <v>1143.0033333333333</v>
      </c>
      <c r="G82" s="404">
        <f>'[3]Combined Overview'!L$168+'[3]Combined Overview'!L$209+'[3]Combined Overview'!L$249</f>
        <v>1143.0033333333333</v>
      </c>
      <c r="H82" s="404">
        <f>'[3]Combined Overview'!M$168+'[3]Combined Overview'!M$209+'[3]Combined Overview'!M$249</f>
        <v>1233.0033333333333</v>
      </c>
      <c r="I82" s="404">
        <f>'[3]Combined Overview'!N$168+'[3]Combined Overview'!N$209+'[3]Combined Overview'!N$249</f>
        <v>1213.0033333333333</v>
      </c>
      <c r="J82" s="404">
        <f>'[3]Combined Overview'!O$168+'[3]Combined Overview'!O$209+'[3]Combined Overview'!O$249</f>
        <v>1192.0033333333333</v>
      </c>
      <c r="K82" s="404">
        <f>'[3]Combined Overview'!P$168+'[3]Combined Overview'!P$209+'[3]Combined Overview'!P$249</f>
        <v>1302.0033333333333</v>
      </c>
      <c r="L82" s="404">
        <f>'[3]Combined Overview'!Q$168+'[3]Combined Overview'!Q$209+'[3]Combined Overview'!Q$249</f>
        <v>1172.0033333333333</v>
      </c>
      <c r="M82" s="404">
        <f>'[3]Combined Overview'!R$168+'[3]Combined Overview'!R$209+'[3]Combined Overview'!R$249</f>
        <v>1202.0033333333333</v>
      </c>
      <c r="N82" s="404">
        <f>'[3]Combined Overview'!S$168+'[3]Combined Overview'!S$209+'[3]Combined Overview'!S$249</f>
        <v>1172.0033333333333</v>
      </c>
      <c r="O82" s="404">
        <f>'[3]Combined Overview'!T$168+'[3]Combined Overview'!T$209+'[3]Combined Overview'!T$249</f>
        <v>902.00333333333333</v>
      </c>
      <c r="P82" s="470">
        <f t="shared" si="3"/>
        <v>13981</v>
      </c>
      <c r="Q82" s="420"/>
      <c r="R82" s="411"/>
      <c r="S82" s="407">
        <v>14281</v>
      </c>
      <c r="T82" s="404">
        <f>'[3]Combined Overview'!X$168+'[3]Combined Overview'!X$209+'[3]Combined Overview'!X$249</f>
        <v>9009.68</v>
      </c>
      <c r="U82" s="404">
        <f>'[4]6-Hm FY21 Budget Variance (P&amp;L)'!G85</f>
        <v>9669.68</v>
      </c>
      <c r="V82" s="404">
        <v>8323.07</v>
      </c>
      <c r="Z82" s="433"/>
    </row>
    <row r="83" spans="2:26" x14ac:dyDescent="0.25">
      <c r="B83" s="441">
        <v>5203</v>
      </c>
      <c r="C83" s="418" t="s">
        <v>167</v>
      </c>
      <c r="D83" s="404">
        <f>'[3]Combined Overview'!I$88</f>
        <v>168000</v>
      </c>
      <c r="E83" s="404">
        <f>'[3]Combined Overview'!J$88</f>
        <v>0</v>
      </c>
      <c r="F83" s="404">
        <f>'[3]Combined Overview'!K$88</f>
        <v>0</v>
      </c>
      <c r="G83" s="404">
        <f>'[3]Combined Overview'!L$88</f>
        <v>0</v>
      </c>
      <c r="H83" s="404">
        <f>'[3]Combined Overview'!M$88</f>
        <v>0</v>
      </c>
      <c r="I83" s="404">
        <f>'[3]Combined Overview'!N$88</f>
        <v>84000</v>
      </c>
      <c r="J83" s="404">
        <f>'[3]Combined Overview'!O$88</f>
        <v>84000</v>
      </c>
      <c r="K83" s="404">
        <f>'[3]Combined Overview'!P$88</f>
        <v>0</v>
      </c>
      <c r="L83" s="404">
        <f>'[3]Combined Overview'!Q$88</f>
        <v>168000</v>
      </c>
      <c r="M83" s="404">
        <f>'[3]Combined Overview'!R$88</f>
        <v>168000</v>
      </c>
      <c r="N83" s="404">
        <f>'[3]Combined Overview'!S$88</f>
        <v>-252000</v>
      </c>
      <c r="O83" s="404">
        <f>'[3]Combined Overview'!T$88</f>
        <v>168000</v>
      </c>
      <c r="P83" s="470">
        <f t="shared" si="3"/>
        <v>588000</v>
      </c>
      <c r="Q83" s="451" t="s">
        <v>521</v>
      </c>
      <c r="R83" s="411">
        <v>-252000</v>
      </c>
      <c r="S83" s="407">
        <v>504000</v>
      </c>
      <c r="T83" s="404">
        <f>'[3]Combined Overview'!X$88</f>
        <v>337462.07</v>
      </c>
      <c r="U83" s="404">
        <f>'[4]6-Hm FY21 Budget Variance (P&amp;L)'!G86</f>
        <v>487462.07</v>
      </c>
      <c r="V83" s="404">
        <v>440000</v>
      </c>
      <c r="W83" s="387" t="s">
        <v>522</v>
      </c>
      <c r="Z83" s="433"/>
    </row>
    <row r="84" spans="2:26" x14ac:dyDescent="0.25">
      <c r="B84" s="452" t="s">
        <v>322</v>
      </c>
      <c r="C84" s="418" t="s">
        <v>169</v>
      </c>
      <c r="D84" s="404">
        <f>'[3]Combined Overview'!I$128+'[3]Combined Overview'!I$195+'[3]Combined Overview'!I$232</f>
        <v>2200</v>
      </c>
      <c r="E84" s="404">
        <f>'[3]Combined Overview'!J$128+'[3]Combined Overview'!J$195+'[3]Combined Overview'!J$232</f>
        <v>2200</v>
      </c>
      <c r="F84" s="404">
        <f>'[3]Combined Overview'!K$128+'[3]Combined Overview'!K$195+'[3]Combined Overview'!K$232</f>
        <v>2200</v>
      </c>
      <c r="G84" s="404">
        <f>'[3]Combined Overview'!L$128+'[3]Combined Overview'!L$195+'[3]Combined Overview'!L$232</f>
        <v>2200</v>
      </c>
      <c r="H84" s="404">
        <f>'[3]Combined Overview'!M$128+'[3]Combined Overview'!M$195+'[3]Combined Overview'!M$232</f>
        <v>2200</v>
      </c>
      <c r="I84" s="404">
        <f>'[3]Combined Overview'!N$128+'[3]Combined Overview'!N$195+'[3]Combined Overview'!N$232</f>
        <v>2200</v>
      </c>
      <c r="J84" s="404">
        <f>'[3]Combined Overview'!O$128+'[3]Combined Overview'!O$195+'[3]Combined Overview'!O$232</f>
        <v>2200</v>
      </c>
      <c r="K84" s="404">
        <f>'[3]Combined Overview'!P$128+'[3]Combined Overview'!P$195+'[3]Combined Overview'!P$232</f>
        <v>2200</v>
      </c>
      <c r="L84" s="404">
        <f>'[3]Combined Overview'!Q$128+'[3]Combined Overview'!Q$195+'[3]Combined Overview'!Q$232</f>
        <v>2200</v>
      </c>
      <c r="M84" s="404">
        <f>'[3]Combined Overview'!R$128+'[3]Combined Overview'!R$195+'[3]Combined Overview'!R$232</f>
        <v>2200</v>
      </c>
      <c r="N84" s="404">
        <f>'[3]Combined Overview'!S$128+'[3]Combined Overview'!S$195+'[3]Combined Overview'!S$232</f>
        <v>2200</v>
      </c>
      <c r="O84" s="404">
        <f>'[3]Combined Overview'!T$128+'[3]Combined Overview'!T$195+'[3]Combined Overview'!T$232</f>
        <v>2200</v>
      </c>
      <c r="P84" s="470">
        <f t="shared" si="3"/>
        <v>26400</v>
      </c>
      <c r="Q84" s="420"/>
      <c r="R84" s="411"/>
      <c r="S84" s="407">
        <v>26400</v>
      </c>
      <c r="T84" s="404">
        <f>'[3]Combined Overview'!X$128+'[3]Combined Overview'!X$195+'[3]Combined Overview'!X$232</f>
        <v>19000</v>
      </c>
      <c r="U84" s="404">
        <f>'[4]6-Hm FY21 Budget Variance (P&amp;L)'!G87</f>
        <v>22800</v>
      </c>
      <c r="V84" s="404">
        <v>22822.799999999999</v>
      </c>
      <c r="Z84" s="433"/>
    </row>
    <row r="85" spans="2:26" x14ac:dyDescent="0.25">
      <c r="B85" s="439" t="s">
        <v>323</v>
      </c>
      <c r="C85" s="418" t="s">
        <v>324</v>
      </c>
      <c r="D85" s="404">
        <f>'[3]Combined Overview'!I$119+'[3]Combined Overview'!I$188+'[3]Combined Overview'!I$226</f>
        <v>781.66666666666652</v>
      </c>
      <c r="E85" s="404">
        <f>'[3]Combined Overview'!J$119+'[3]Combined Overview'!J$188+'[3]Combined Overview'!J$226</f>
        <v>681.66666666666652</v>
      </c>
      <c r="F85" s="404">
        <f>'[3]Combined Overview'!K$119+'[3]Combined Overview'!K$188+'[3]Combined Overview'!K$226</f>
        <v>836.16666666666652</v>
      </c>
      <c r="G85" s="404">
        <f>'[3]Combined Overview'!L$119+'[3]Combined Overview'!L$188+'[3]Combined Overview'!L$226</f>
        <v>681.66666666666652</v>
      </c>
      <c r="H85" s="404">
        <f>'[3]Combined Overview'!M$119+'[3]Combined Overview'!M$188+'[3]Combined Overview'!M$226</f>
        <v>631.66666666666652</v>
      </c>
      <c r="I85" s="404">
        <f>'[3]Combined Overview'!N$119+'[3]Combined Overview'!N$188+'[3]Combined Overview'!N$226</f>
        <v>706.66666666666652</v>
      </c>
      <c r="J85" s="404">
        <f>'[3]Combined Overview'!O$119+'[3]Combined Overview'!O$188+'[3]Combined Overview'!O$226</f>
        <v>631.66666666666652</v>
      </c>
      <c r="K85" s="404">
        <f>'[3]Combined Overview'!P$119+'[3]Combined Overview'!P$188+'[3]Combined Overview'!P$226</f>
        <v>711.16666666666652</v>
      </c>
      <c r="L85" s="404">
        <f>'[3]Combined Overview'!Q$119+'[3]Combined Overview'!Q$188+'[3]Combined Overview'!Q$226</f>
        <v>856.66666666666652</v>
      </c>
      <c r="M85" s="404">
        <f>'[3]Combined Overview'!R$119+'[3]Combined Overview'!R$188+'[3]Combined Overview'!R$226</f>
        <v>781.66666666666652</v>
      </c>
      <c r="N85" s="404">
        <f>'[3]Combined Overview'!S$119+'[3]Combined Overview'!S$188+'[3]Combined Overview'!S$226</f>
        <v>831.66666666666652</v>
      </c>
      <c r="O85" s="404">
        <f>'[3]Combined Overview'!T$119+'[3]Combined Overview'!T$188+'[3]Combined Overview'!T$226</f>
        <v>986.16666666666652</v>
      </c>
      <c r="P85" s="470">
        <f t="shared" si="3"/>
        <v>9119</v>
      </c>
      <c r="Q85" s="420"/>
      <c r="R85" s="411"/>
      <c r="S85" s="407">
        <v>9419</v>
      </c>
      <c r="T85" s="404">
        <f>'[3]Combined Overview'!X$119+'[3]Combined Overview'!X$188+'[3]Combined Overview'!X$226</f>
        <v>8229.39</v>
      </c>
      <c r="U85" s="404">
        <f>'[4]6-Hm FY21 Budget Variance (P&amp;L)'!G88</f>
        <v>8754.39</v>
      </c>
      <c r="V85" s="404">
        <v>7719</v>
      </c>
      <c r="Z85" s="433"/>
    </row>
    <row r="86" spans="2:26" x14ac:dyDescent="0.25">
      <c r="B86" s="435" t="s">
        <v>325</v>
      </c>
      <c r="C86" s="418" t="s">
        <v>326</v>
      </c>
      <c r="D86" s="404">
        <f>'[3]Combined Overview'!I$144</f>
        <v>0</v>
      </c>
      <c r="E86" s="404">
        <f>'[3]Combined Overview'!J$144</f>
        <v>0</v>
      </c>
      <c r="F86" s="404">
        <f>'[3]Combined Overview'!K$144</f>
        <v>0</v>
      </c>
      <c r="G86" s="404">
        <f>'[3]Combined Overview'!L$144</f>
        <v>250</v>
      </c>
      <c r="H86" s="404">
        <f>'[3]Combined Overview'!M$144</f>
        <v>250</v>
      </c>
      <c r="I86" s="404">
        <f>'[3]Combined Overview'!N$144</f>
        <v>250</v>
      </c>
      <c r="J86" s="404">
        <f>'[3]Combined Overview'!O$144</f>
        <v>250</v>
      </c>
      <c r="K86" s="404">
        <f>'[3]Combined Overview'!P$144</f>
        <v>250</v>
      </c>
      <c r="L86" s="404">
        <f>'[3]Combined Overview'!Q$144</f>
        <v>250</v>
      </c>
      <c r="M86" s="404">
        <f>'[3]Combined Overview'!R$144</f>
        <v>250</v>
      </c>
      <c r="N86" s="404">
        <f>'[3]Combined Overview'!S$144</f>
        <v>250</v>
      </c>
      <c r="O86" s="404">
        <f>'[3]Combined Overview'!T$144</f>
        <v>250</v>
      </c>
      <c r="P86" s="470">
        <f t="shared" si="3"/>
        <v>2250</v>
      </c>
      <c r="Q86" s="420"/>
      <c r="R86" s="411"/>
      <c r="S86" s="407">
        <v>2250</v>
      </c>
      <c r="T86" s="404">
        <f>'[3]Combined Overview'!X$144</f>
        <v>1131.32</v>
      </c>
      <c r="U86" s="404">
        <f>'[4]6-Hm FY21 Budget Variance (P&amp;L)'!G89</f>
        <v>1556.32</v>
      </c>
      <c r="V86" s="404">
        <v>1000</v>
      </c>
      <c r="Z86" s="433"/>
    </row>
    <row r="87" spans="2:26" x14ac:dyDescent="0.25">
      <c r="B87" s="441">
        <v>5106</v>
      </c>
      <c r="C87" s="418" t="s">
        <v>170</v>
      </c>
      <c r="D87" s="404">
        <f>'[3]Combined Overview'!I$72</f>
        <v>500</v>
      </c>
      <c r="E87" s="404">
        <f>'[3]Combined Overview'!J$72</f>
        <v>500</v>
      </c>
      <c r="F87" s="404">
        <f>'[3]Combined Overview'!K$72</f>
        <v>500</v>
      </c>
      <c r="G87" s="404">
        <f>'[3]Combined Overview'!L$72</f>
        <v>500</v>
      </c>
      <c r="H87" s="404">
        <f>'[3]Combined Overview'!M$72</f>
        <v>500</v>
      </c>
      <c r="I87" s="404">
        <f>'[3]Combined Overview'!N$72</f>
        <v>500</v>
      </c>
      <c r="J87" s="404">
        <f>'[3]Combined Overview'!O$72</f>
        <v>500</v>
      </c>
      <c r="K87" s="404">
        <f>'[3]Combined Overview'!P$72</f>
        <v>500</v>
      </c>
      <c r="L87" s="404">
        <f>'[3]Combined Overview'!Q$72</f>
        <v>700</v>
      </c>
      <c r="M87" s="404">
        <f>'[3]Combined Overview'!R$72</f>
        <v>700</v>
      </c>
      <c r="N87" s="404">
        <f>'[3]Combined Overview'!S$72</f>
        <v>700</v>
      </c>
      <c r="O87" s="404">
        <f>'[3]Combined Overview'!T$72</f>
        <v>700</v>
      </c>
      <c r="P87" s="470">
        <f t="shared" si="3"/>
        <v>6800</v>
      </c>
      <c r="Q87" s="437"/>
      <c r="R87" s="411"/>
      <c r="S87" s="407">
        <v>6800</v>
      </c>
      <c r="T87" s="404">
        <f>'[3]Combined Overview'!X$72</f>
        <v>5375.88</v>
      </c>
      <c r="U87" s="404">
        <f>'[4]6-Hm FY21 Budget Variance (P&amp;L)'!G90</f>
        <v>5775.88</v>
      </c>
      <c r="V87" s="404">
        <v>5000</v>
      </c>
      <c r="Z87" s="433"/>
    </row>
    <row r="88" spans="2:26" x14ac:dyDescent="0.25">
      <c r="B88" s="452" t="s">
        <v>327</v>
      </c>
      <c r="C88" s="418" t="s">
        <v>171</v>
      </c>
      <c r="D88" s="404">
        <f>'[3]Combined Overview'!I$110+'[3]Combined Overview'!I$181+'[3]Combined Overview'!I$217</f>
        <v>13921.039999999999</v>
      </c>
      <c r="E88" s="404">
        <f>'[3]Combined Overview'!J$110+'[3]Combined Overview'!J$181+'[3]Combined Overview'!J$217</f>
        <v>13921.039999999999</v>
      </c>
      <c r="F88" s="404">
        <f>'[3]Combined Overview'!K$110+'[3]Combined Overview'!K$181+'[3]Combined Overview'!K$217</f>
        <v>13921.039999999999</v>
      </c>
      <c r="G88" s="404">
        <f>'[3]Combined Overview'!L$110+'[3]Combined Overview'!L$181+'[3]Combined Overview'!L$217</f>
        <v>13921.039999999999</v>
      </c>
      <c r="H88" s="404">
        <f>'[3]Combined Overview'!M$110+'[3]Combined Overview'!M$181+'[3]Combined Overview'!M$217</f>
        <v>13921.039999999999</v>
      </c>
      <c r="I88" s="404">
        <f>'[3]Combined Overview'!N$110+'[3]Combined Overview'!N$181+'[3]Combined Overview'!N$217</f>
        <v>13921.039999999999</v>
      </c>
      <c r="J88" s="404">
        <f>'[3]Combined Overview'!O$110+'[3]Combined Overview'!O$181+'[3]Combined Overview'!O$217</f>
        <v>14552.217279999999</v>
      </c>
      <c r="K88" s="404">
        <f>'[3]Combined Overview'!P$110+'[3]Combined Overview'!P$181+'[3]Combined Overview'!P$217</f>
        <v>14552.217279999999</v>
      </c>
      <c r="L88" s="404">
        <f>'[3]Combined Overview'!Q$110+'[3]Combined Overview'!Q$181+'[3]Combined Overview'!Q$217</f>
        <v>14552.217279999999</v>
      </c>
      <c r="M88" s="404">
        <f>'[3]Combined Overview'!R$110+'[3]Combined Overview'!R$181+'[3]Combined Overview'!R$217</f>
        <v>16445.751839999997</v>
      </c>
      <c r="N88" s="404">
        <f>'[3]Combined Overview'!S$110+'[3]Combined Overview'!S$181+'[3]Combined Overview'!S$217</f>
        <v>16445.751839999997</v>
      </c>
      <c r="O88" s="404">
        <f>'[3]Combined Overview'!T$110+'[3]Combined Overview'!T$181+'[3]Combined Overview'!T$217</f>
        <v>16445.751839999997</v>
      </c>
      <c r="P88" s="470">
        <f t="shared" si="3"/>
        <v>176521</v>
      </c>
      <c r="Q88" s="420"/>
      <c r="R88" s="411"/>
      <c r="S88" s="407">
        <v>189194</v>
      </c>
      <c r="T88" s="404">
        <f>'[3]Combined Overview'!X$110+'[3]Combined Overview'!X$181+'[3]Combined Overview'!X$217</f>
        <v>121962.59000000001</v>
      </c>
      <c r="U88" s="404">
        <f>'[4]6-Hm FY21 Budget Variance (P&amp;L)'!G92</f>
        <v>146336.59000000003</v>
      </c>
      <c r="V88" s="404">
        <v>179918.08000000002</v>
      </c>
      <c r="Z88" s="433"/>
    </row>
    <row r="89" spans="2:26" x14ac:dyDescent="0.25">
      <c r="B89" s="439" t="s">
        <v>328</v>
      </c>
      <c r="C89" s="418" t="s">
        <v>329</v>
      </c>
      <c r="D89" s="404">
        <f>'[3]Combined Overview'!I$120+'[3]Combined Overview'!I$189+'[3]Combined Overview'!I$227</f>
        <v>525</v>
      </c>
      <c r="E89" s="404">
        <f>'[3]Combined Overview'!J$120+'[3]Combined Overview'!J$189+'[3]Combined Overview'!J$227</f>
        <v>525</v>
      </c>
      <c r="F89" s="404">
        <f>'[3]Combined Overview'!K$120+'[3]Combined Overview'!K$189+'[3]Combined Overview'!K$227</f>
        <v>525</v>
      </c>
      <c r="G89" s="404">
        <f>'[3]Combined Overview'!L$120+'[3]Combined Overview'!L$189+'[3]Combined Overview'!L$227</f>
        <v>525</v>
      </c>
      <c r="H89" s="404">
        <f>'[3]Combined Overview'!M$120+'[3]Combined Overview'!M$189+'[3]Combined Overview'!M$227</f>
        <v>525</v>
      </c>
      <c r="I89" s="404">
        <f>'[3]Combined Overview'!N$120+'[3]Combined Overview'!N$189+'[3]Combined Overview'!N$227</f>
        <v>525</v>
      </c>
      <c r="J89" s="404">
        <f>'[3]Combined Overview'!O$120+'[3]Combined Overview'!O$189+'[3]Combined Overview'!O$227</f>
        <v>525</v>
      </c>
      <c r="K89" s="404">
        <f>'[3]Combined Overview'!P$120+'[3]Combined Overview'!P$189+'[3]Combined Overview'!P$227</f>
        <v>525</v>
      </c>
      <c r="L89" s="404">
        <f>'[3]Combined Overview'!Q$120+'[3]Combined Overview'!Q$189+'[3]Combined Overview'!Q$227</f>
        <v>525</v>
      </c>
      <c r="M89" s="404">
        <f>'[3]Combined Overview'!R$120+'[3]Combined Overview'!R$189+'[3]Combined Overview'!R$227</f>
        <v>525</v>
      </c>
      <c r="N89" s="404">
        <f>'[3]Combined Overview'!S$120+'[3]Combined Overview'!S$189+'[3]Combined Overview'!S$227</f>
        <v>525</v>
      </c>
      <c r="O89" s="404">
        <f>'[3]Combined Overview'!T$120+'[3]Combined Overview'!T$189+'[3]Combined Overview'!T$227</f>
        <v>525</v>
      </c>
      <c r="P89" s="470">
        <f t="shared" si="3"/>
        <v>6300</v>
      </c>
      <c r="Q89" s="420"/>
      <c r="R89" s="411"/>
      <c r="S89" s="407">
        <v>6300</v>
      </c>
      <c r="T89" s="404">
        <f>'[3]Combined Overview'!X$120+'[3]Combined Overview'!X$189+'[3]Combined Overview'!X$227</f>
        <v>4733.68</v>
      </c>
      <c r="U89" s="404">
        <f>'[4]6-Hm FY21 Budget Variance (P&amp;L)'!G93</f>
        <v>5733.68</v>
      </c>
      <c r="V89" s="404">
        <v>5400</v>
      </c>
      <c r="W89" s="387" t="s">
        <v>523</v>
      </c>
      <c r="Z89" s="433"/>
    </row>
    <row r="90" spans="2:26" x14ac:dyDescent="0.25">
      <c r="B90" s="441">
        <v>5110</v>
      </c>
      <c r="C90" s="418" t="s">
        <v>173</v>
      </c>
      <c r="D90" s="404">
        <f>'[3]Combined Overview'!I$74</f>
        <v>25</v>
      </c>
      <c r="E90" s="404">
        <f>'[3]Combined Overview'!J$74</f>
        <v>0</v>
      </c>
      <c r="F90" s="404">
        <f>'[3]Combined Overview'!K$74</f>
        <v>0</v>
      </c>
      <c r="G90" s="404">
        <f>'[3]Combined Overview'!L$74</f>
        <v>25</v>
      </c>
      <c r="H90" s="404">
        <f>'[3]Combined Overview'!M$74</f>
        <v>0</v>
      </c>
      <c r="I90" s="404">
        <f>'[3]Combined Overview'!N$74</f>
        <v>0</v>
      </c>
      <c r="J90" s="404">
        <f>'[3]Combined Overview'!O$74</f>
        <v>25</v>
      </c>
      <c r="K90" s="404">
        <f>'[3]Combined Overview'!P$74</f>
        <v>0</v>
      </c>
      <c r="L90" s="404">
        <f>'[3]Combined Overview'!Q$74</f>
        <v>0</v>
      </c>
      <c r="M90" s="404">
        <f>'[3]Combined Overview'!R$74</f>
        <v>25</v>
      </c>
      <c r="N90" s="404">
        <f>'[3]Combined Overview'!S$74</f>
        <v>0</v>
      </c>
      <c r="O90" s="404">
        <f>'[3]Combined Overview'!T$74</f>
        <v>0</v>
      </c>
      <c r="P90" s="470">
        <f t="shared" si="3"/>
        <v>100</v>
      </c>
      <c r="Q90" s="437"/>
      <c r="R90" s="411"/>
      <c r="S90" s="407">
        <v>100</v>
      </c>
      <c r="T90" s="404">
        <f>'[3]Combined Overview'!X$74</f>
        <v>13267.25</v>
      </c>
      <c r="U90" s="404">
        <f>'[4]6-Hm FY21 Budget Variance (P&amp;L)'!G94</f>
        <v>19267.25</v>
      </c>
      <c r="V90" s="404">
        <v>0</v>
      </c>
      <c r="Z90" s="433"/>
    </row>
    <row r="91" spans="2:26" x14ac:dyDescent="0.25">
      <c r="B91" s="441" t="s">
        <v>330</v>
      </c>
      <c r="C91" s="418" t="s">
        <v>174</v>
      </c>
      <c r="D91" s="404">
        <f>'[3]Combined Overview'!I$122+'[3]Combined Overview'!I$191+'[3]Combined Overview'!I$229</f>
        <v>441.66666666666669</v>
      </c>
      <c r="E91" s="404">
        <f>'[3]Combined Overview'!J$122+'[3]Combined Overview'!J$191+'[3]Combined Overview'!J$229</f>
        <v>476.66666666666669</v>
      </c>
      <c r="F91" s="404">
        <f>'[3]Combined Overview'!K$122+'[3]Combined Overview'!K$191+'[3]Combined Overview'!K$229</f>
        <v>401.66666666666669</v>
      </c>
      <c r="G91" s="404">
        <f>'[3]Combined Overview'!L$122+'[3]Combined Overview'!L$191+'[3]Combined Overview'!L$229</f>
        <v>491.66666666666669</v>
      </c>
      <c r="H91" s="404">
        <f>'[3]Combined Overview'!M$122+'[3]Combined Overview'!M$191+'[3]Combined Overview'!M$229</f>
        <v>476.66666666666669</v>
      </c>
      <c r="I91" s="404">
        <f>'[3]Combined Overview'!N$122+'[3]Combined Overview'!N$191+'[3]Combined Overview'!N$229</f>
        <v>523.66666666666674</v>
      </c>
      <c r="J91" s="404">
        <f>'[3]Combined Overview'!O$122+'[3]Combined Overview'!O$191+'[3]Combined Overview'!O$229</f>
        <v>471.66666666666669</v>
      </c>
      <c r="K91" s="404">
        <f>'[3]Combined Overview'!P$122+'[3]Combined Overview'!P$191+'[3]Combined Overview'!P$229</f>
        <v>806.66666666666674</v>
      </c>
      <c r="L91" s="404">
        <f>'[3]Combined Overview'!Q$122+'[3]Combined Overview'!Q$191+'[3]Combined Overview'!Q$229</f>
        <v>431.66666666666669</v>
      </c>
      <c r="M91" s="404">
        <f>'[3]Combined Overview'!R$122+'[3]Combined Overview'!R$191+'[3]Combined Overview'!R$229</f>
        <v>441.66666666666669</v>
      </c>
      <c r="N91" s="404">
        <f>'[3]Combined Overview'!S$122+'[3]Combined Overview'!S$191+'[3]Combined Overview'!S$229</f>
        <v>591.66666666666674</v>
      </c>
      <c r="O91" s="404">
        <f>'[3]Combined Overview'!T$122+'[3]Combined Overview'!T$191+'[3]Combined Overview'!T$229</f>
        <v>493.66666666666669</v>
      </c>
      <c r="P91" s="470">
        <f t="shared" si="3"/>
        <v>6049</v>
      </c>
      <c r="Q91" s="437"/>
      <c r="R91" s="411"/>
      <c r="S91" s="407">
        <v>6049</v>
      </c>
      <c r="T91" s="404">
        <f>'[3]Combined Overview'!X$122+'[3]Combined Overview'!X$191+'[3]Combined Overview'!X$229</f>
        <v>2809.7799999999997</v>
      </c>
      <c r="U91" s="404">
        <f>'[4]6-Hm FY21 Budget Variance (P&amp;L)'!G95</f>
        <v>3009.7799999999997</v>
      </c>
      <c r="V91" s="404">
        <v>4000</v>
      </c>
      <c r="W91" s="453" t="s">
        <v>524</v>
      </c>
      <c r="Z91" s="433"/>
    </row>
    <row r="92" spans="2:26" x14ac:dyDescent="0.25">
      <c r="B92" s="439" t="s">
        <v>331</v>
      </c>
      <c r="C92" s="472" t="s">
        <v>175</v>
      </c>
      <c r="D92" s="404">
        <f>'[3]Combined Overview'!I$150+'[3]Combined Overview'!I$202+'[3]Combined Overview'!I$241</f>
        <v>4793.333333333333</v>
      </c>
      <c r="E92" s="404">
        <f>'[3]Combined Overview'!J$150+'[3]Combined Overview'!J$202+'[3]Combined Overview'!J$241</f>
        <v>478.33333333333337</v>
      </c>
      <c r="F92" s="404">
        <f>'[3]Combined Overview'!K$150+'[3]Combined Overview'!K$202+'[3]Combined Overview'!K$241</f>
        <v>1133.3333333333335</v>
      </c>
      <c r="G92" s="404">
        <f>'[3]Combined Overview'!L$150+'[3]Combined Overview'!L$202+'[3]Combined Overview'!L$241</f>
        <v>3543.3333333333335</v>
      </c>
      <c r="H92" s="404">
        <f>'[3]Combined Overview'!M$150+'[3]Combined Overview'!M$202+'[3]Combined Overview'!M$241</f>
        <v>648.33333333333337</v>
      </c>
      <c r="I92" s="404">
        <f>'[3]Combined Overview'!N$150+'[3]Combined Overview'!N$202+'[3]Combined Overview'!N$241</f>
        <v>2850.8333333333335</v>
      </c>
      <c r="J92" s="404">
        <f>'[3]Combined Overview'!O$150+'[3]Combined Overview'!O$202+'[3]Combined Overview'!O$241</f>
        <v>1488.3333333333335</v>
      </c>
      <c r="K92" s="404">
        <f>'[3]Combined Overview'!P$150+'[3]Combined Overview'!P$202+'[3]Combined Overview'!P$241</f>
        <v>3303.3333333333335</v>
      </c>
      <c r="L92" s="404">
        <f>'[3]Combined Overview'!Q$150+'[3]Combined Overview'!Q$202+'[3]Combined Overview'!Q$241</f>
        <v>710.83333333333337</v>
      </c>
      <c r="M92" s="404">
        <f>'[3]Combined Overview'!R$150+'[3]Combined Overview'!R$202+'[3]Combined Overview'!R$241</f>
        <v>3083.3333333333335</v>
      </c>
      <c r="N92" s="404">
        <f>'[3]Combined Overview'!S$150+'[3]Combined Overview'!S$202+'[3]Combined Overview'!S$241</f>
        <v>3238.3333333333335</v>
      </c>
      <c r="O92" s="404">
        <f>'[3]Combined Overview'!T$150+'[3]Combined Overview'!T$202+'[3]Combined Overview'!T$241</f>
        <v>638.33333333333337</v>
      </c>
      <c r="P92" s="470">
        <f t="shared" si="3"/>
        <v>25910</v>
      </c>
      <c r="Q92" s="420"/>
      <c r="R92" s="411"/>
      <c r="S92" s="407">
        <v>25910</v>
      </c>
      <c r="T92" s="404">
        <f>'[3]Combined Overview'!X$150+'[3]Combined Overview'!X$202+'[3]Combined Overview'!X$241</f>
        <v>12812.64</v>
      </c>
      <c r="U92" s="404">
        <f>'[4]6-Hm FY21 Budget Variance (P&amp;L)'!G96</f>
        <v>15382.64</v>
      </c>
      <c r="V92" s="404">
        <v>23880</v>
      </c>
      <c r="Z92" s="433"/>
    </row>
    <row r="93" spans="2:26" x14ac:dyDescent="0.25">
      <c r="B93" s="441">
        <v>5209</v>
      </c>
      <c r="C93" s="418" t="s">
        <v>463</v>
      </c>
      <c r="D93" s="404">
        <f>'[3]Combined Overview'!I$98</f>
        <v>0</v>
      </c>
      <c r="E93" s="404">
        <f>'[3]Combined Overview'!J$98</f>
        <v>0</v>
      </c>
      <c r="F93" s="404">
        <f>'[3]Combined Overview'!K$98</f>
        <v>150</v>
      </c>
      <c r="G93" s="404">
        <f>'[3]Combined Overview'!L$98</f>
        <v>147</v>
      </c>
      <c r="H93" s="404">
        <f>'[3]Combined Overview'!M$98</f>
        <v>0</v>
      </c>
      <c r="I93" s="404">
        <f>'[3]Combined Overview'!N$98</f>
        <v>110</v>
      </c>
      <c r="J93" s="404">
        <f>'[3]Combined Overview'!O$98</f>
        <v>200</v>
      </c>
      <c r="K93" s="404">
        <f>'[3]Combined Overview'!P$98</f>
        <v>0</v>
      </c>
      <c r="L93" s="404">
        <f>'[3]Combined Overview'!Q$98</f>
        <v>0</v>
      </c>
      <c r="M93" s="404">
        <f>'[3]Combined Overview'!R$98</f>
        <v>0</v>
      </c>
      <c r="N93" s="404">
        <f>'[3]Combined Overview'!S$98</f>
        <v>55</v>
      </c>
      <c r="O93" s="404">
        <f>'[3]Combined Overview'!T$98</f>
        <v>0</v>
      </c>
      <c r="P93" s="470">
        <f t="shared" si="3"/>
        <v>662</v>
      </c>
      <c r="Q93" s="437"/>
      <c r="R93" s="411"/>
      <c r="S93" s="407">
        <v>662</v>
      </c>
      <c r="T93" s="404">
        <f>'[3]Combined Overview'!X$98</f>
        <v>817.75</v>
      </c>
      <c r="U93" s="404">
        <f>'[4]6-Hm FY21 Budget Variance (P&amp;L)'!G97</f>
        <v>817.75</v>
      </c>
      <c r="V93" s="404">
        <v>1010</v>
      </c>
      <c r="Z93" s="433"/>
    </row>
    <row r="94" spans="2:26" x14ac:dyDescent="0.25">
      <c r="B94" s="435">
        <v>8440</v>
      </c>
      <c r="C94" s="418" t="s">
        <v>177</v>
      </c>
      <c r="D94" s="404">
        <f>+'[3]Combined Overview'!I$248</f>
        <v>399</v>
      </c>
      <c r="E94" s="404">
        <f>+'[3]Combined Overview'!J$248</f>
        <v>199</v>
      </c>
      <c r="F94" s="404">
        <f>+'[3]Combined Overview'!K$248</f>
        <v>1079</v>
      </c>
      <c r="G94" s="404">
        <f>+'[3]Combined Overview'!L$248</f>
        <v>199</v>
      </c>
      <c r="H94" s="404">
        <f>+'[3]Combined Overview'!M$248</f>
        <v>299</v>
      </c>
      <c r="I94" s="404">
        <f>+'[3]Combined Overview'!N$248</f>
        <v>3299</v>
      </c>
      <c r="J94" s="404">
        <f>+'[3]Combined Overview'!O$248</f>
        <v>199</v>
      </c>
      <c r="K94" s="404">
        <f>+'[3]Combined Overview'!P$248</f>
        <v>849</v>
      </c>
      <c r="L94" s="404">
        <f>+'[3]Combined Overview'!Q$248</f>
        <v>499</v>
      </c>
      <c r="M94" s="404">
        <f>+'[3]Combined Overview'!R$248</f>
        <v>1499</v>
      </c>
      <c r="N94" s="404">
        <f>+'[3]Combined Overview'!S$248</f>
        <v>2249</v>
      </c>
      <c r="O94" s="404">
        <f>+'[3]Combined Overview'!T$248</f>
        <v>1099</v>
      </c>
      <c r="P94" s="470">
        <f t="shared" si="3"/>
        <v>11868</v>
      </c>
      <c r="Q94" s="420"/>
      <c r="R94" s="411"/>
      <c r="S94" s="407">
        <v>11868</v>
      </c>
      <c r="T94" s="404">
        <f>+'[3]Combined Overview'!X$248</f>
        <v>6217.43</v>
      </c>
      <c r="U94" s="404">
        <f>'[4]6-Hm FY21 Budget Variance (P&amp;L)'!G98</f>
        <v>6415.43</v>
      </c>
      <c r="V94" s="404">
        <v>16083</v>
      </c>
      <c r="Z94" s="433"/>
    </row>
    <row r="95" spans="2:26" x14ac:dyDescent="0.25">
      <c r="B95" s="441">
        <v>5202</v>
      </c>
      <c r="C95" s="418" t="s">
        <v>178</v>
      </c>
      <c r="D95" s="404">
        <f>'[3]Combined Overview'!I$87</f>
        <v>0</v>
      </c>
      <c r="E95" s="404">
        <f>'[3]Combined Overview'!J$87</f>
        <v>0</v>
      </c>
      <c r="F95" s="404">
        <f>'[3]Combined Overview'!K$87</f>
        <v>0</v>
      </c>
      <c r="G95" s="404">
        <f>'[3]Combined Overview'!L$87</f>
        <v>0</v>
      </c>
      <c r="H95" s="404">
        <f>'[3]Combined Overview'!M$87</f>
        <v>0</v>
      </c>
      <c r="I95" s="404">
        <f>'[3]Combined Overview'!N$87</f>
        <v>0</v>
      </c>
      <c r="J95" s="404">
        <f>'[3]Combined Overview'!O$87</f>
        <v>0</v>
      </c>
      <c r="K95" s="404">
        <f>'[3]Combined Overview'!P$87</f>
        <v>0</v>
      </c>
      <c r="L95" s="404">
        <f>'[3]Combined Overview'!Q$87</f>
        <v>0</v>
      </c>
      <c r="M95" s="404">
        <f>'[3]Combined Overview'!R$87</f>
        <v>575</v>
      </c>
      <c r="N95" s="404">
        <f>'[3]Combined Overview'!S$87</f>
        <v>0</v>
      </c>
      <c r="O95" s="404">
        <f>'[3]Combined Overview'!T$87</f>
        <v>0</v>
      </c>
      <c r="P95" s="470">
        <f t="shared" si="3"/>
        <v>575</v>
      </c>
      <c r="Q95" s="437"/>
      <c r="R95" s="411"/>
      <c r="S95" s="407">
        <v>575</v>
      </c>
      <c r="T95" s="404">
        <f>'[3]Combined Overview'!X$87</f>
        <v>75</v>
      </c>
      <c r="U95" s="404">
        <f>'[4]6-Hm FY21 Budget Variance (P&amp;L)'!G99</f>
        <v>75</v>
      </c>
      <c r="V95" s="404">
        <v>75</v>
      </c>
      <c r="Z95" s="433"/>
    </row>
    <row r="96" spans="2:26" x14ac:dyDescent="0.25">
      <c r="B96" s="441">
        <v>5291</v>
      </c>
      <c r="C96" s="418" t="s">
        <v>179</v>
      </c>
      <c r="D96" s="404">
        <f>'[3]Combined Overview'!I$112</f>
        <v>12.5</v>
      </c>
      <c r="E96" s="404">
        <f>'[3]Combined Overview'!J$112</f>
        <v>12.5</v>
      </c>
      <c r="F96" s="404">
        <f>'[3]Combined Overview'!K$112</f>
        <v>12.5</v>
      </c>
      <c r="G96" s="404">
        <f>'[3]Combined Overview'!L$112</f>
        <v>12.5</v>
      </c>
      <c r="H96" s="404">
        <f>'[3]Combined Overview'!M$112</f>
        <v>12.5</v>
      </c>
      <c r="I96" s="404">
        <f>'[3]Combined Overview'!N$112</f>
        <v>12.5</v>
      </c>
      <c r="J96" s="404">
        <f>'[3]Combined Overview'!O$112</f>
        <v>12.5</v>
      </c>
      <c r="K96" s="404">
        <f>'[3]Combined Overview'!P$112</f>
        <v>12.5</v>
      </c>
      <c r="L96" s="404">
        <f>'[3]Combined Overview'!Q$112</f>
        <v>12.5</v>
      </c>
      <c r="M96" s="404">
        <f>'[3]Combined Overview'!R$112</f>
        <v>12.5</v>
      </c>
      <c r="N96" s="404">
        <f>'[3]Combined Overview'!S$112</f>
        <v>12.5</v>
      </c>
      <c r="O96" s="404">
        <f>'[3]Combined Overview'!T$112</f>
        <v>12.5</v>
      </c>
      <c r="P96" s="470">
        <f t="shared" si="3"/>
        <v>150</v>
      </c>
      <c r="Q96" s="437"/>
      <c r="R96" s="411"/>
      <c r="S96" s="407">
        <v>150</v>
      </c>
      <c r="T96" s="404">
        <f>+'[3]Combined Overview'!$X$220</f>
        <v>103</v>
      </c>
      <c r="U96" s="404">
        <f>'[4]6-Hm FY21 Budget Variance (P&amp;L)'!G100</f>
        <v>103</v>
      </c>
      <c r="V96" s="404">
        <v>150</v>
      </c>
      <c r="Z96" s="433"/>
    </row>
    <row r="97" spans="2:26" x14ac:dyDescent="0.25">
      <c r="B97" s="435">
        <v>5367</v>
      </c>
      <c r="C97" s="418" t="s">
        <v>182</v>
      </c>
      <c r="D97" s="404">
        <f>'[3]Combined Overview'!I$131</f>
        <v>1202.8499999999999</v>
      </c>
      <c r="E97" s="404">
        <f>'[3]Combined Overview'!J$131</f>
        <v>1202.8499999999999</v>
      </c>
      <c r="F97" s="404">
        <f>'[3]Combined Overview'!K$131</f>
        <v>1202.8499999999999</v>
      </c>
      <c r="G97" s="404">
        <f>'[3]Combined Overview'!L$131</f>
        <v>1202.8499999999999</v>
      </c>
      <c r="H97" s="404">
        <f>'[3]Combined Overview'!M$131</f>
        <v>1202.8499999999999</v>
      </c>
      <c r="I97" s="404">
        <f>'[3]Combined Overview'!N$131</f>
        <v>1202.8499999999999</v>
      </c>
      <c r="J97" s="404">
        <f>'[3]Combined Overview'!O$131</f>
        <v>1202.8499999999999</v>
      </c>
      <c r="K97" s="404">
        <f>'[3]Combined Overview'!P$131</f>
        <v>1202.8499999999999</v>
      </c>
      <c r="L97" s="404">
        <f>'[3]Combined Overview'!Q$131</f>
        <v>1532.85</v>
      </c>
      <c r="M97" s="404">
        <f>'[3]Combined Overview'!R$131</f>
        <v>1532.85</v>
      </c>
      <c r="N97" s="404">
        <f>'[3]Combined Overview'!S$131</f>
        <v>1532.85</v>
      </c>
      <c r="O97" s="404">
        <f>'[3]Combined Overview'!T$131</f>
        <v>1532.85</v>
      </c>
      <c r="P97" s="470">
        <f t="shared" si="3"/>
        <v>15755</v>
      </c>
      <c r="Q97" s="437"/>
      <c r="R97" s="411"/>
      <c r="S97" s="407">
        <v>15755</v>
      </c>
      <c r="T97" s="404">
        <f>'[3]Combined Overview'!X$131</f>
        <v>11769.36</v>
      </c>
      <c r="U97" s="404">
        <f>'[4]6-Hm FY21 Budget Variance (P&amp;L)'!G101</f>
        <v>14779.36</v>
      </c>
      <c r="V97" s="404">
        <v>13112</v>
      </c>
      <c r="Z97" s="433"/>
    </row>
    <row r="98" spans="2:26" x14ac:dyDescent="0.25">
      <c r="B98" s="439" t="s">
        <v>332</v>
      </c>
      <c r="C98" s="418" t="s">
        <v>185</v>
      </c>
      <c r="D98" s="404">
        <f>'[3]Combined Overview'!I$123+'[3]Combined Overview'!I$192+'[3]Combined Overview'!I$230</f>
        <v>688.33333333333337</v>
      </c>
      <c r="E98" s="404">
        <f>'[3]Combined Overview'!J$123+'[3]Combined Overview'!J$192+'[3]Combined Overview'!J$230</f>
        <v>673.33333333333337</v>
      </c>
      <c r="F98" s="404">
        <f>'[3]Combined Overview'!K$123+'[3]Combined Overview'!K$192+'[3]Combined Overview'!K$230</f>
        <v>673.33333333333337</v>
      </c>
      <c r="G98" s="404">
        <f>'[3]Combined Overview'!L$123+'[3]Combined Overview'!L$192+'[3]Combined Overview'!L$230</f>
        <v>673.33333333333337</v>
      </c>
      <c r="H98" s="404">
        <f>'[3]Combined Overview'!M$123+'[3]Combined Overview'!M$192+'[3]Combined Overview'!M$230</f>
        <v>688.33333333333337</v>
      </c>
      <c r="I98" s="404">
        <f>'[3]Combined Overview'!N$123+'[3]Combined Overview'!N$192+'[3]Combined Overview'!N$230</f>
        <v>673.33333333333337</v>
      </c>
      <c r="J98" s="404">
        <f>'[3]Combined Overview'!O$123+'[3]Combined Overview'!O$192+'[3]Combined Overview'!O$230</f>
        <v>673.33333333333337</v>
      </c>
      <c r="K98" s="404">
        <f>'[3]Combined Overview'!P$123+'[3]Combined Overview'!P$192+'[3]Combined Overview'!P$230</f>
        <v>673.33333333333337</v>
      </c>
      <c r="L98" s="404">
        <f>'[3]Combined Overview'!Q$123+'[3]Combined Overview'!Q$192+'[3]Combined Overview'!Q$230</f>
        <v>813.33333333333337</v>
      </c>
      <c r="M98" s="404">
        <f>'[3]Combined Overview'!R$123+'[3]Combined Overview'!R$192+'[3]Combined Overview'!R$230</f>
        <v>798.33333333333337</v>
      </c>
      <c r="N98" s="404">
        <f>'[3]Combined Overview'!S$123+'[3]Combined Overview'!S$192+'[3]Combined Overview'!S$230</f>
        <v>798.33333333333337</v>
      </c>
      <c r="O98" s="404">
        <f>'[3]Combined Overview'!T$123+'[3]Combined Overview'!T$192+'[3]Combined Overview'!T$230</f>
        <v>813.33333333333337</v>
      </c>
      <c r="P98" s="470">
        <f t="shared" si="3"/>
        <v>8640</v>
      </c>
      <c r="Q98" s="420"/>
      <c r="R98" s="411"/>
      <c r="S98" s="407">
        <v>8640</v>
      </c>
      <c r="T98" s="404">
        <f>'[3]Combined Overview'!X$123+'[3]Combined Overview'!X$192+'[3]Combined Overview'!X$230</f>
        <v>4247.01</v>
      </c>
      <c r="U98" s="404">
        <f>'[4]6-Hm FY21 Budget Variance (P&amp;L)'!G102</f>
        <v>4652.01</v>
      </c>
      <c r="V98" s="404">
        <v>6000</v>
      </c>
      <c r="Z98" s="433"/>
    </row>
    <row r="99" spans="2:26" x14ac:dyDescent="0.25">
      <c r="B99" s="441">
        <v>5114</v>
      </c>
      <c r="C99" s="418" t="s">
        <v>186</v>
      </c>
      <c r="D99" s="404">
        <f>'[3]Combined Overview'!I$75</f>
        <v>100</v>
      </c>
      <c r="E99" s="404">
        <f>'[3]Combined Overview'!J$75</f>
        <v>100</v>
      </c>
      <c r="F99" s="404">
        <f>'[3]Combined Overview'!K$75</f>
        <v>100</v>
      </c>
      <c r="G99" s="404">
        <f>'[3]Combined Overview'!L$75</f>
        <v>100</v>
      </c>
      <c r="H99" s="404">
        <f>'[3]Combined Overview'!M$75</f>
        <v>100</v>
      </c>
      <c r="I99" s="404">
        <f>'[3]Combined Overview'!N$75</f>
        <v>100</v>
      </c>
      <c r="J99" s="404">
        <f>'[3]Combined Overview'!O$75</f>
        <v>100</v>
      </c>
      <c r="K99" s="404">
        <f>'[3]Combined Overview'!P$75</f>
        <v>100</v>
      </c>
      <c r="L99" s="404">
        <f>'[3]Combined Overview'!Q$75</f>
        <v>100</v>
      </c>
      <c r="M99" s="404">
        <f>'[3]Combined Overview'!R$75</f>
        <v>100</v>
      </c>
      <c r="N99" s="404">
        <f>'[3]Combined Overview'!S$75</f>
        <v>100</v>
      </c>
      <c r="O99" s="404">
        <f>'[3]Combined Overview'!T$75</f>
        <v>100</v>
      </c>
      <c r="P99" s="470">
        <f t="shared" si="3"/>
        <v>1200</v>
      </c>
      <c r="Q99" s="437"/>
      <c r="R99" s="411"/>
      <c r="S99" s="407">
        <v>1200</v>
      </c>
      <c r="T99" s="404">
        <f>'[3]Combined Overview'!X$75</f>
        <v>1000</v>
      </c>
      <c r="U99" s="404">
        <f>'[4]6-Hm FY21 Budget Variance (P&amp;L)'!G103</f>
        <v>1200</v>
      </c>
      <c r="V99" s="404">
        <v>1200</v>
      </c>
      <c r="Z99" s="433"/>
    </row>
    <row r="100" spans="2:26" x14ac:dyDescent="0.25">
      <c r="B100" s="452" t="s">
        <v>333</v>
      </c>
      <c r="C100" s="418" t="s">
        <v>334</v>
      </c>
      <c r="D100" s="404">
        <f>'[3]Combined Overview'!I$121+'[3]Combined Overview'!I$190+'[3]Combined Overview'!I$228</f>
        <v>1575</v>
      </c>
      <c r="E100" s="404">
        <f>'[3]Combined Overview'!J$121+'[3]Combined Overview'!J$190+'[3]Combined Overview'!J$228</f>
        <v>1575</v>
      </c>
      <c r="F100" s="404">
        <f>'[3]Combined Overview'!K$121+'[3]Combined Overview'!K$190+'[3]Combined Overview'!K$228</f>
        <v>1620</v>
      </c>
      <c r="G100" s="404">
        <f>'[3]Combined Overview'!L$121+'[3]Combined Overview'!L$190+'[3]Combined Overview'!L$228</f>
        <v>1620</v>
      </c>
      <c r="H100" s="404">
        <f>'[3]Combined Overview'!M$121+'[3]Combined Overview'!M$190+'[3]Combined Overview'!M$228</f>
        <v>1620</v>
      </c>
      <c r="I100" s="404">
        <f>'[3]Combined Overview'!N$121+'[3]Combined Overview'!N$190+'[3]Combined Overview'!N$228</f>
        <v>1620</v>
      </c>
      <c r="J100" s="404">
        <f>'[3]Combined Overview'!O$121+'[3]Combined Overview'!O$190+'[3]Combined Overview'!O$228</f>
        <v>1620</v>
      </c>
      <c r="K100" s="404">
        <f>'[3]Combined Overview'!P$121+'[3]Combined Overview'!P$190+'[3]Combined Overview'!P$228</f>
        <v>2120</v>
      </c>
      <c r="L100" s="404">
        <f>'[3]Combined Overview'!Q$121+'[3]Combined Overview'!Q$190+'[3]Combined Overview'!Q$228</f>
        <v>2120</v>
      </c>
      <c r="M100" s="404">
        <f>'[3]Combined Overview'!R$121+'[3]Combined Overview'!R$190+'[3]Combined Overview'!R$228</f>
        <v>2120</v>
      </c>
      <c r="N100" s="404">
        <f>'[3]Combined Overview'!S$121+'[3]Combined Overview'!S$190+'[3]Combined Overview'!S$228</f>
        <v>2120</v>
      </c>
      <c r="O100" s="404">
        <f>'[3]Combined Overview'!T$121+'[3]Combined Overview'!T$190+'[3]Combined Overview'!T$228</f>
        <v>2120</v>
      </c>
      <c r="P100" s="470">
        <f t="shared" si="3"/>
        <v>21850</v>
      </c>
      <c r="Q100" s="420"/>
      <c r="R100" s="411"/>
      <c r="S100" s="407">
        <v>21850</v>
      </c>
      <c r="T100" s="404">
        <f>'[3]Combined Overview'!X$121+'[3]Combined Overview'!X$190+'[3]Combined Overview'!X$228</f>
        <v>19251.760000000002</v>
      </c>
      <c r="U100" s="404">
        <f>'[4]6-Hm FY21 Budget Variance (P&amp;L)'!G104</f>
        <v>23181.760000000002</v>
      </c>
      <c r="V100" s="404">
        <v>23072</v>
      </c>
      <c r="Z100" s="433"/>
    </row>
    <row r="101" spans="2:26" x14ac:dyDescent="0.25">
      <c r="B101" s="435">
        <v>8285</v>
      </c>
      <c r="C101" s="418" t="s">
        <v>190</v>
      </c>
      <c r="D101" s="404">
        <f>'[3]Combined Overview'!I$218</f>
        <v>912</v>
      </c>
      <c r="E101" s="404">
        <f>'[3]Combined Overview'!J$218</f>
        <v>912</v>
      </c>
      <c r="F101" s="404">
        <f>'[3]Combined Overview'!K$218</f>
        <v>912</v>
      </c>
      <c r="G101" s="404">
        <f>'[3]Combined Overview'!L$218</f>
        <v>912</v>
      </c>
      <c r="H101" s="404">
        <f>'[3]Combined Overview'!M$218</f>
        <v>912</v>
      </c>
      <c r="I101" s="404">
        <f>'[3]Combined Overview'!N$218</f>
        <v>912</v>
      </c>
      <c r="J101" s="404">
        <f>'[3]Combined Overview'!O$218</f>
        <v>912</v>
      </c>
      <c r="K101" s="404">
        <f>'[3]Combined Overview'!P$218</f>
        <v>912</v>
      </c>
      <c r="L101" s="404">
        <f>'[3]Combined Overview'!Q$218</f>
        <v>912</v>
      </c>
      <c r="M101" s="404">
        <f>'[3]Combined Overview'!R$218</f>
        <v>912</v>
      </c>
      <c r="N101" s="404">
        <f>'[3]Combined Overview'!S$218</f>
        <v>912</v>
      </c>
      <c r="O101" s="404">
        <f>'[3]Combined Overview'!T$218</f>
        <v>-488</v>
      </c>
      <c r="P101" s="470">
        <f t="shared" si="3"/>
        <v>9544</v>
      </c>
      <c r="Q101" s="437"/>
      <c r="R101" s="411"/>
      <c r="S101" s="407">
        <v>10944</v>
      </c>
      <c r="T101" s="404">
        <f>'[3]Combined Overview'!X$218</f>
        <v>5598</v>
      </c>
      <c r="U101" s="404">
        <f>'[4]6-Hm FY21 Budget Variance (P&amp;L)'!G105</f>
        <v>7230</v>
      </c>
      <c r="V101" s="404">
        <v>8400</v>
      </c>
      <c r="Z101" s="433"/>
    </row>
    <row r="102" spans="2:26" x14ac:dyDescent="0.25">
      <c r="B102" s="435">
        <v>5363</v>
      </c>
      <c r="C102" s="418" t="s">
        <v>192</v>
      </c>
      <c r="D102" s="404">
        <f>'[3]Combined Overview'!I$129</f>
        <v>1533.3333333333333</v>
      </c>
      <c r="E102" s="404">
        <f>'[3]Combined Overview'!J$129</f>
        <v>1533.3333333333333</v>
      </c>
      <c r="F102" s="404">
        <f>'[3]Combined Overview'!K$129</f>
        <v>1533.3333333333333</v>
      </c>
      <c r="G102" s="404">
        <f>'[3]Combined Overview'!L$129</f>
        <v>1533.3333333333333</v>
      </c>
      <c r="H102" s="404">
        <f>'[3]Combined Overview'!M$129</f>
        <v>1533.3333333333333</v>
      </c>
      <c r="I102" s="404">
        <f>'[3]Combined Overview'!N$129</f>
        <v>1533.3333333333333</v>
      </c>
      <c r="J102" s="404">
        <f>'[3]Combined Overview'!O$129</f>
        <v>1533.3333333333333</v>
      </c>
      <c r="K102" s="404">
        <f>'[3]Combined Overview'!P$129</f>
        <v>2333.333333333333</v>
      </c>
      <c r="L102" s="404">
        <f>'[3]Combined Overview'!Q$129</f>
        <v>2333.333333333333</v>
      </c>
      <c r="M102" s="404">
        <f>'[3]Combined Overview'!R$129</f>
        <v>2333.333333333333</v>
      </c>
      <c r="N102" s="404">
        <f>'[3]Combined Overview'!S$129</f>
        <v>2333.333333333333</v>
      </c>
      <c r="O102" s="404">
        <f>'[3]Combined Overview'!T$129</f>
        <v>2333.333333333333</v>
      </c>
      <c r="P102" s="470">
        <f t="shared" si="3"/>
        <v>22400</v>
      </c>
      <c r="Q102" s="437"/>
      <c r="R102" s="411"/>
      <c r="S102" s="407">
        <v>22400</v>
      </c>
      <c r="T102" s="404">
        <f>'[3]Combined Overview'!X$129</f>
        <v>14329.48</v>
      </c>
      <c r="U102" s="404">
        <f>'[4]6-Hm FY21 Budget Variance (P&amp;L)'!G106</f>
        <v>17229.48</v>
      </c>
      <c r="V102" s="404">
        <v>17600</v>
      </c>
      <c r="Z102" s="433"/>
    </row>
    <row r="103" spans="2:26" x14ac:dyDescent="0.25">
      <c r="B103" s="435">
        <v>5356</v>
      </c>
      <c r="C103" s="418" t="s">
        <v>193</v>
      </c>
      <c r="D103" s="404">
        <f>'[3]Combined Overview'!I$124</f>
        <v>100</v>
      </c>
      <c r="E103" s="404">
        <f>'[3]Combined Overview'!J$124</f>
        <v>100</v>
      </c>
      <c r="F103" s="404">
        <f>'[3]Combined Overview'!K$124</f>
        <v>100</v>
      </c>
      <c r="G103" s="404">
        <f>'[3]Combined Overview'!L$124</f>
        <v>100</v>
      </c>
      <c r="H103" s="404">
        <f>'[3]Combined Overview'!M$124</f>
        <v>100</v>
      </c>
      <c r="I103" s="404">
        <f>'[3]Combined Overview'!N$124</f>
        <v>100</v>
      </c>
      <c r="J103" s="404">
        <f>'[3]Combined Overview'!O$124</f>
        <v>100</v>
      </c>
      <c r="K103" s="404">
        <f>'[3]Combined Overview'!P$124</f>
        <v>375</v>
      </c>
      <c r="L103" s="404">
        <f>'[3]Combined Overview'!Q$124</f>
        <v>100</v>
      </c>
      <c r="M103" s="404">
        <f>'[3]Combined Overview'!R$124</f>
        <v>100</v>
      </c>
      <c r="N103" s="404">
        <f>'[3]Combined Overview'!S$124</f>
        <v>300</v>
      </c>
      <c r="O103" s="404">
        <f>'[3]Combined Overview'!T$124</f>
        <v>100</v>
      </c>
      <c r="P103" s="470">
        <f t="shared" si="3"/>
        <v>1675</v>
      </c>
      <c r="Q103" s="437"/>
      <c r="R103" s="411"/>
      <c r="S103" s="407">
        <v>1675</v>
      </c>
      <c r="T103" s="404">
        <f>'[3]Combined Overview'!X$124</f>
        <v>0</v>
      </c>
      <c r="U103" s="404">
        <f>'[4]6-Hm FY21 Budget Variance (P&amp;L)'!G107</f>
        <v>0</v>
      </c>
      <c r="V103" s="404">
        <v>200</v>
      </c>
      <c r="Z103" s="433"/>
    </row>
    <row r="104" spans="2:26" x14ac:dyDescent="0.25">
      <c r="B104" s="439" t="s">
        <v>335</v>
      </c>
      <c r="C104" s="418" t="s">
        <v>194</v>
      </c>
      <c r="D104" s="404">
        <f>'[3]Combined Overview'!I$130+'[3]Combined Overview'!I$196+'[3]Combined Overview'!I$233</f>
        <v>2341.6666666666665</v>
      </c>
      <c r="E104" s="404">
        <f>'[3]Combined Overview'!J$130+'[3]Combined Overview'!J$196+'[3]Combined Overview'!J$233</f>
        <v>2341.6666666666665</v>
      </c>
      <c r="F104" s="404">
        <f>'[3]Combined Overview'!K$130+'[3]Combined Overview'!K$196+'[3]Combined Overview'!K$233</f>
        <v>2341.6666666666665</v>
      </c>
      <c r="G104" s="404">
        <f>'[3]Combined Overview'!L$130+'[3]Combined Overview'!L$196+'[3]Combined Overview'!L$233</f>
        <v>2341.6666666666665</v>
      </c>
      <c r="H104" s="404">
        <f>'[3]Combined Overview'!M$130+'[3]Combined Overview'!M$196+'[3]Combined Overview'!M$233</f>
        <v>2341.6666666666665</v>
      </c>
      <c r="I104" s="404">
        <f>'[3]Combined Overview'!N$130+'[3]Combined Overview'!N$196+'[3]Combined Overview'!N$233</f>
        <v>2341.6666666666665</v>
      </c>
      <c r="J104" s="404">
        <f>'[3]Combined Overview'!O$130+'[3]Combined Overview'!O$196+'[3]Combined Overview'!O$233</f>
        <v>2341.6666666666665</v>
      </c>
      <c r="K104" s="404">
        <f>'[3]Combined Overview'!P$130+'[3]Combined Overview'!P$196+'[3]Combined Overview'!P$233</f>
        <v>2341.6666666666665</v>
      </c>
      <c r="L104" s="404">
        <f>'[3]Combined Overview'!Q$130+'[3]Combined Overview'!Q$196+'[3]Combined Overview'!Q$233</f>
        <v>2341.6666666666665</v>
      </c>
      <c r="M104" s="404">
        <f>'[3]Combined Overview'!R$130+'[3]Combined Overview'!R$196+'[3]Combined Overview'!R$233</f>
        <v>2966.666666666667</v>
      </c>
      <c r="N104" s="404">
        <f>'[3]Combined Overview'!S$130+'[3]Combined Overview'!S$196+'[3]Combined Overview'!S$233</f>
        <v>2966.666666666667</v>
      </c>
      <c r="O104" s="404">
        <f>'[3]Combined Overview'!T$130+'[3]Combined Overview'!T$196+'[3]Combined Overview'!T$233</f>
        <v>2966.666666666667</v>
      </c>
      <c r="P104" s="470">
        <f t="shared" si="3"/>
        <v>29975</v>
      </c>
      <c r="Q104" s="420"/>
      <c r="R104" s="411"/>
      <c r="S104" s="407">
        <v>34727</v>
      </c>
      <c r="T104" s="404">
        <f>'[3]Combined Overview'!X$130+'[3]Combined Overview'!X$196+'[3]Combined Overview'!X$233</f>
        <v>21850.14</v>
      </c>
      <c r="U104" s="404">
        <f>'[4]6-Hm FY21 Budget Variance (P&amp;L)'!G108</f>
        <v>26650.14</v>
      </c>
      <c r="V104" s="404">
        <v>28440</v>
      </c>
      <c r="Z104" s="433"/>
    </row>
    <row r="105" spans="2:26" x14ac:dyDescent="0.25">
      <c r="B105" s="435" t="s">
        <v>338</v>
      </c>
      <c r="C105" s="418" t="s">
        <v>339</v>
      </c>
      <c r="D105" s="404">
        <f>'[3]Combined Overview'!I$138</f>
        <v>1577.5</v>
      </c>
      <c r="E105" s="404">
        <f>'[3]Combined Overview'!J$138</f>
        <v>1577.5</v>
      </c>
      <c r="F105" s="404">
        <f>'[3]Combined Overview'!K$138</f>
        <v>1577.5</v>
      </c>
      <c r="G105" s="404">
        <f>'[3]Combined Overview'!L$138</f>
        <v>1577.5</v>
      </c>
      <c r="H105" s="404">
        <f>'[3]Combined Overview'!M$138</f>
        <v>1477.5</v>
      </c>
      <c r="I105" s="404">
        <f>'[3]Combined Overview'!N$138</f>
        <v>1477.5</v>
      </c>
      <c r="J105" s="404">
        <f>'[3]Combined Overview'!O$138</f>
        <v>1477.5</v>
      </c>
      <c r="K105" s="404">
        <f>'[3]Combined Overview'!P$138</f>
        <v>1927.5</v>
      </c>
      <c r="L105" s="404">
        <f>'[3]Combined Overview'!Q$138</f>
        <v>1927.5</v>
      </c>
      <c r="M105" s="404">
        <f>'[3]Combined Overview'!R$138</f>
        <v>2027.5</v>
      </c>
      <c r="N105" s="404">
        <f>'[3]Combined Overview'!S$138</f>
        <v>2027.5</v>
      </c>
      <c r="O105" s="404">
        <f>'[3]Combined Overview'!T$138</f>
        <v>2027.5</v>
      </c>
      <c r="P105" s="470">
        <f t="shared" si="3"/>
        <v>20680</v>
      </c>
      <c r="Q105" s="420"/>
      <c r="R105" s="411"/>
      <c r="S105" s="407">
        <v>21180</v>
      </c>
      <c r="T105" s="404">
        <f>'[3]Combined Overview'!X$138</f>
        <v>12471.62</v>
      </c>
      <c r="U105" s="404">
        <f>'[4]6-Hm FY21 Budget Variance (P&amp;L)'!G109</f>
        <v>13731.62</v>
      </c>
      <c r="V105" s="404">
        <v>15350</v>
      </c>
      <c r="Z105" s="433"/>
    </row>
    <row r="106" spans="2:26" x14ac:dyDescent="0.25">
      <c r="B106" s="435" t="s">
        <v>340</v>
      </c>
      <c r="C106" s="418" t="s">
        <v>341</v>
      </c>
      <c r="D106" s="404">
        <f>'[3]Combined Overview'!I$137</f>
        <v>2538.6999378109458</v>
      </c>
      <c r="E106" s="404">
        <f>'[3]Combined Overview'!J$137</f>
        <v>0</v>
      </c>
      <c r="F106" s="404">
        <f>'[3]Combined Overview'!K$137</f>
        <v>0</v>
      </c>
      <c r="G106" s="404">
        <f>'[3]Combined Overview'!L$137</f>
        <v>2535.75</v>
      </c>
      <c r="H106" s="404">
        <f>'[3]Combined Overview'!M$137</f>
        <v>0</v>
      </c>
      <c r="I106" s="404">
        <f>'[3]Combined Overview'!N$137</f>
        <v>0</v>
      </c>
      <c r="J106" s="404">
        <f>'[3]Combined Overview'!O$137</f>
        <v>2535.75</v>
      </c>
      <c r="K106" s="404">
        <f>'[3]Combined Overview'!P$137</f>
        <v>175</v>
      </c>
      <c r="L106" s="404">
        <f>'[3]Combined Overview'!Q$137</f>
        <v>175</v>
      </c>
      <c r="M106" s="404">
        <f>'[3]Combined Overview'!R$137</f>
        <v>2712.8000621890546</v>
      </c>
      <c r="N106" s="404">
        <f>'[3]Combined Overview'!S$137</f>
        <v>175</v>
      </c>
      <c r="O106" s="404">
        <f>'[3]Combined Overview'!T$137</f>
        <v>175</v>
      </c>
      <c r="P106" s="470">
        <f t="shared" si="3"/>
        <v>11023</v>
      </c>
      <c r="Q106" s="420"/>
      <c r="R106" s="411"/>
      <c r="S106" s="407">
        <v>12523</v>
      </c>
      <c r="T106" s="404">
        <f>'[3]Combined Overview'!X$137</f>
        <v>10144.25</v>
      </c>
      <c r="U106" s="404">
        <f>'[4]6-Hm FY21 Budget Variance (P&amp;L)'!G110</f>
        <v>12544.25</v>
      </c>
      <c r="V106" s="404">
        <v>9952.1299999999992</v>
      </c>
      <c r="Z106" s="433"/>
    </row>
    <row r="107" spans="2:26" x14ac:dyDescent="0.25">
      <c r="B107" s="435" t="s">
        <v>336</v>
      </c>
      <c r="C107" s="418" t="s">
        <v>464</v>
      </c>
      <c r="D107" s="404">
        <f>'[3]Combined Overview'!I$139</f>
        <v>1516.6666666666667</v>
      </c>
      <c r="E107" s="404">
        <f>'[3]Combined Overview'!J$139</f>
        <v>516.66666666666674</v>
      </c>
      <c r="F107" s="404">
        <f>'[3]Combined Overview'!K$139</f>
        <v>516.66666666666674</v>
      </c>
      <c r="G107" s="404">
        <f>'[3]Combined Overview'!L$139</f>
        <v>516.66666666666674</v>
      </c>
      <c r="H107" s="404">
        <f>'[3]Combined Overview'!M$139</f>
        <v>516.66666666666674</v>
      </c>
      <c r="I107" s="404">
        <f>'[3]Combined Overview'!N$139</f>
        <v>516.66666666666674</v>
      </c>
      <c r="J107" s="404">
        <f>'[3]Combined Overview'!O$139</f>
        <v>516.66666666666674</v>
      </c>
      <c r="K107" s="404">
        <f>'[3]Combined Overview'!P$139</f>
        <v>666.66666666666674</v>
      </c>
      <c r="L107" s="404">
        <f>'[3]Combined Overview'!Q$139</f>
        <v>666.66666666666674</v>
      </c>
      <c r="M107" s="404">
        <f>'[3]Combined Overview'!R$139</f>
        <v>666.66666666666674</v>
      </c>
      <c r="N107" s="404">
        <f>'[3]Combined Overview'!S$139</f>
        <v>666.66666666666674</v>
      </c>
      <c r="O107" s="404">
        <f>'[3]Combined Overview'!T$139</f>
        <v>666.66666666666674</v>
      </c>
      <c r="P107" s="470">
        <f t="shared" si="3"/>
        <v>7950</v>
      </c>
      <c r="Q107" s="420"/>
      <c r="R107" s="411"/>
      <c r="S107" s="407">
        <v>8450</v>
      </c>
      <c r="T107" s="404">
        <f>'[3]Combined Overview'!X$139</f>
        <v>14347.2</v>
      </c>
      <c r="U107" s="404">
        <f>'[4]6-Hm FY21 Budget Variance (P&amp;L)'!G111</f>
        <v>14347.2</v>
      </c>
      <c r="V107" s="404">
        <v>4600</v>
      </c>
      <c r="W107" s="426"/>
      <c r="Z107" s="433"/>
    </row>
    <row r="108" spans="2:26" x14ac:dyDescent="0.25">
      <c r="B108" s="435" t="s">
        <v>342</v>
      </c>
      <c r="C108" s="418" t="s">
        <v>343</v>
      </c>
      <c r="D108" s="404">
        <f>'[3]Combined Overview'!I$136</f>
        <v>177.24300000000002</v>
      </c>
      <c r="E108" s="404">
        <f>'[3]Combined Overview'!J$136</f>
        <v>228.74700000000001</v>
      </c>
      <c r="F108" s="404">
        <f>'[3]Combined Overview'!K$136</f>
        <v>0</v>
      </c>
      <c r="G108" s="404">
        <f>'[3]Combined Overview'!L$136</f>
        <v>150.42699999999999</v>
      </c>
      <c r="H108" s="404">
        <f>'[3]Combined Overview'!M$136</f>
        <v>142.56200000000001</v>
      </c>
      <c r="I108" s="404">
        <f>'[3]Combined Overview'!N$136</f>
        <v>0</v>
      </c>
      <c r="J108" s="404">
        <f>'[3]Combined Overview'!O$136</f>
        <v>0</v>
      </c>
      <c r="K108" s="404">
        <f>'[3]Combined Overview'!P$136</f>
        <v>214.46700000000001</v>
      </c>
      <c r="L108" s="404">
        <f>'[3]Combined Overview'!Q$136</f>
        <v>650</v>
      </c>
      <c r="M108" s="404">
        <f>'[3]Combined Overview'!R$136</f>
        <v>0</v>
      </c>
      <c r="N108" s="404">
        <f>'[3]Combined Overview'!S$136</f>
        <v>0</v>
      </c>
      <c r="O108" s="404">
        <f>'[3]Combined Overview'!T$136</f>
        <v>480.46700000000004</v>
      </c>
      <c r="P108" s="470">
        <f t="shared" si="3"/>
        <v>2044</v>
      </c>
      <c r="Q108" s="420" t="s">
        <v>525</v>
      </c>
      <c r="R108" s="411"/>
      <c r="S108" s="407">
        <v>2044</v>
      </c>
      <c r="T108" s="404">
        <f>'[3]Combined Overview'!X$136</f>
        <v>955.83</v>
      </c>
      <c r="U108" s="404">
        <f>'[4]6-Hm FY21 Budget Variance (P&amp;L)'!G112</f>
        <v>955.83</v>
      </c>
      <c r="V108" s="404">
        <v>1336</v>
      </c>
      <c r="W108" s="387" t="s">
        <v>526</v>
      </c>
      <c r="Z108" s="433"/>
    </row>
    <row r="109" spans="2:26" x14ac:dyDescent="0.25">
      <c r="B109" s="435" t="s">
        <v>234</v>
      </c>
      <c r="C109" s="418" t="s">
        <v>35</v>
      </c>
      <c r="D109" s="404">
        <f>'[3]Combined Overview'!I$140</f>
        <v>1875</v>
      </c>
      <c r="E109" s="404">
        <f>'[3]Combined Overview'!J$140</f>
        <v>1875</v>
      </c>
      <c r="F109" s="404">
        <f>'[3]Combined Overview'!K$140</f>
        <v>1875</v>
      </c>
      <c r="G109" s="404">
        <f>'[3]Combined Overview'!L$140</f>
        <v>1875</v>
      </c>
      <c r="H109" s="404">
        <f>'[3]Combined Overview'!M$140</f>
        <v>1875</v>
      </c>
      <c r="I109" s="404">
        <f>'[3]Combined Overview'!N$140</f>
        <v>1875</v>
      </c>
      <c r="J109" s="404">
        <f>'[3]Combined Overview'!O$140</f>
        <v>1875</v>
      </c>
      <c r="K109" s="404">
        <f>'[3]Combined Overview'!P$140</f>
        <v>2875</v>
      </c>
      <c r="L109" s="404">
        <f>'[3]Combined Overview'!Q$140</f>
        <v>2875</v>
      </c>
      <c r="M109" s="404">
        <f>'[3]Combined Overview'!R$140</f>
        <v>2875</v>
      </c>
      <c r="N109" s="404">
        <f>'[3]Combined Overview'!S$140</f>
        <v>2875</v>
      </c>
      <c r="O109" s="404">
        <f>'[3]Combined Overview'!T$140</f>
        <v>2875</v>
      </c>
      <c r="P109" s="470">
        <f t="shared" si="3"/>
        <v>27500</v>
      </c>
      <c r="Q109" s="420"/>
      <c r="R109" s="411"/>
      <c r="S109" s="407">
        <v>24500</v>
      </c>
      <c r="T109" s="404">
        <f>'[3]Combined Overview'!X$140</f>
        <v>9749.08</v>
      </c>
      <c r="U109" s="404">
        <f>'[4]6-Hm FY21 Budget Variance (P&amp;L)'!G113</f>
        <v>11549.08</v>
      </c>
      <c r="V109" s="404">
        <v>22635.360000000001</v>
      </c>
      <c r="Z109" s="433"/>
    </row>
    <row r="110" spans="2:26" x14ac:dyDescent="0.25">
      <c r="B110" s="435">
        <v>5373</v>
      </c>
      <c r="C110" s="418" t="s">
        <v>344</v>
      </c>
      <c r="D110" s="404">
        <f>'[3]Combined Overview'!I$142</f>
        <v>200</v>
      </c>
      <c r="E110" s="404">
        <f>'[3]Combined Overview'!J$142</f>
        <v>200</v>
      </c>
      <c r="F110" s="404">
        <f>'[3]Combined Overview'!K$142</f>
        <v>200</v>
      </c>
      <c r="G110" s="404">
        <f>'[3]Combined Overview'!L$142</f>
        <v>200</v>
      </c>
      <c r="H110" s="404">
        <f>'[3]Combined Overview'!M$142</f>
        <v>200</v>
      </c>
      <c r="I110" s="404">
        <f>'[3]Combined Overview'!N$142</f>
        <v>200</v>
      </c>
      <c r="J110" s="404">
        <f>'[3]Combined Overview'!O$142</f>
        <v>200</v>
      </c>
      <c r="K110" s="404">
        <f>'[3]Combined Overview'!P$142</f>
        <v>200</v>
      </c>
      <c r="L110" s="404">
        <f>'[3]Combined Overview'!Q$142</f>
        <v>200</v>
      </c>
      <c r="M110" s="404">
        <f>'[3]Combined Overview'!R$142</f>
        <v>200</v>
      </c>
      <c r="N110" s="404">
        <f>'[3]Combined Overview'!S$142</f>
        <v>200</v>
      </c>
      <c r="O110" s="404">
        <f>'[3]Combined Overview'!T$142</f>
        <v>200</v>
      </c>
      <c r="P110" s="470">
        <f t="shared" si="3"/>
        <v>2400</v>
      </c>
      <c r="Q110" s="437"/>
      <c r="R110" s="411"/>
      <c r="S110" s="407">
        <v>2400</v>
      </c>
      <c r="T110" s="404">
        <f>'[3]Combined Overview'!X$142</f>
        <v>4458.7700000000004</v>
      </c>
      <c r="U110" s="404">
        <f>'[4]6-Hm FY21 Budget Variance (P&amp;L)'!G114</f>
        <v>4458.7700000000004</v>
      </c>
      <c r="V110" s="404">
        <v>2400</v>
      </c>
      <c r="Z110" s="433"/>
    </row>
    <row r="111" spans="2:26" x14ac:dyDescent="0.25">
      <c r="B111" s="441" t="s">
        <v>465</v>
      </c>
      <c r="C111" s="418" t="s">
        <v>466</v>
      </c>
      <c r="D111" s="404">
        <f>'[3]Combined Overview'!I$96</f>
        <v>525</v>
      </c>
      <c r="E111" s="404">
        <f>'[3]Combined Overview'!J$96</f>
        <v>75</v>
      </c>
      <c r="F111" s="404">
        <f>'[3]Combined Overview'!K$96</f>
        <v>75</v>
      </c>
      <c r="G111" s="404">
        <f>'[3]Combined Overview'!L$96</f>
        <v>75</v>
      </c>
      <c r="H111" s="404">
        <f>'[3]Combined Overview'!M$96</f>
        <v>75</v>
      </c>
      <c r="I111" s="404">
        <f>'[3]Combined Overview'!N$96</f>
        <v>75</v>
      </c>
      <c r="J111" s="404">
        <f>'[3]Combined Overview'!O$96</f>
        <v>75</v>
      </c>
      <c r="K111" s="404">
        <f>'[3]Combined Overview'!P$96</f>
        <v>75</v>
      </c>
      <c r="L111" s="404">
        <f>'[3]Combined Overview'!Q$96</f>
        <v>75</v>
      </c>
      <c r="M111" s="404">
        <f>'[3]Combined Overview'!R$96</f>
        <v>75</v>
      </c>
      <c r="N111" s="404">
        <f>'[3]Combined Overview'!S$96</f>
        <v>75</v>
      </c>
      <c r="O111" s="404">
        <f>'[3]Combined Overview'!T$96</f>
        <v>75</v>
      </c>
      <c r="P111" s="470">
        <f t="shared" si="3"/>
        <v>1350</v>
      </c>
      <c r="Q111" s="437"/>
      <c r="R111" s="411"/>
      <c r="S111" s="407">
        <v>1350</v>
      </c>
      <c r="T111" s="404">
        <f>'[3]Combined Overview'!X$96</f>
        <v>555.53</v>
      </c>
      <c r="U111" s="404">
        <f>'[4]6-Hm FY21 Budget Variance (P&amp;L)'!G115</f>
        <v>555.53</v>
      </c>
      <c r="V111" s="404">
        <v>0</v>
      </c>
      <c r="Z111" s="433"/>
    </row>
    <row r="112" spans="2:26" ht="18" customHeight="1" x14ac:dyDescent="0.25">
      <c r="B112" s="441" t="s">
        <v>345</v>
      </c>
      <c r="C112" s="418" t="s">
        <v>346</v>
      </c>
      <c r="D112" s="404">
        <f>'[3]Combined Overview'!I$94</f>
        <v>0</v>
      </c>
      <c r="E112" s="404">
        <f>'[3]Combined Overview'!J$94</f>
        <v>0</v>
      </c>
      <c r="F112" s="404">
        <f>'[3]Combined Overview'!K$94</f>
        <v>0</v>
      </c>
      <c r="G112" s="404">
        <f>'[3]Combined Overview'!L$94</f>
        <v>0</v>
      </c>
      <c r="H112" s="404">
        <f>'[3]Combined Overview'!M$94</f>
        <v>0</v>
      </c>
      <c r="I112" s="404">
        <f>'[3]Combined Overview'!N$94</f>
        <v>0</v>
      </c>
      <c r="J112" s="404">
        <f>'[3]Combined Overview'!O$94</f>
        <v>0</v>
      </c>
      <c r="K112" s="404">
        <f>'[3]Combined Overview'!P$94</f>
        <v>0</v>
      </c>
      <c r="L112" s="404">
        <f>'[3]Combined Overview'!Q$94</f>
        <v>0</v>
      </c>
      <c r="M112" s="404">
        <f>'[3]Combined Overview'!R$94</f>
        <v>12500</v>
      </c>
      <c r="N112" s="404">
        <f>'[3]Combined Overview'!S$94</f>
        <v>0</v>
      </c>
      <c r="O112" s="404">
        <f>'[3]Combined Overview'!T$94</f>
        <v>-2500</v>
      </c>
      <c r="P112" s="470">
        <f t="shared" si="3"/>
        <v>10000</v>
      </c>
      <c r="Q112" s="454" t="s">
        <v>527</v>
      </c>
      <c r="R112" s="411"/>
      <c r="S112" s="407">
        <v>12500</v>
      </c>
      <c r="T112" s="404">
        <f>'[3]Combined Overview'!X$94</f>
        <v>0</v>
      </c>
      <c r="U112" s="404">
        <f>'[4]6-Hm FY21 Budget Variance (P&amp;L)'!G116</f>
        <v>0</v>
      </c>
      <c r="V112" s="404">
        <v>10000</v>
      </c>
      <c r="Z112" s="433"/>
    </row>
    <row r="113" spans="2:27" x14ac:dyDescent="0.25">
      <c r="B113" s="441">
        <v>5208</v>
      </c>
      <c r="C113" s="418" t="s">
        <v>196</v>
      </c>
      <c r="D113" s="404">
        <f>'[3]Combined Overview'!I$93</f>
        <v>1800</v>
      </c>
      <c r="E113" s="404">
        <f>'[3]Combined Overview'!J$93</f>
        <v>1100</v>
      </c>
      <c r="F113" s="404">
        <f>'[3]Combined Overview'!K$93</f>
        <v>800</v>
      </c>
      <c r="G113" s="404">
        <f>'[3]Combined Overview'!L$93</f>
        <v>800</v>
      </c>
      <c r="H113" s="404">
        <f>'[3]Combined Overview'!M$93</f>
        <v>1100</v>
      </c>
      <c r="I113" s="404">
        <f>'[3]Combined Overview'!N$93</f>
        <v>800</v>
      </c>
      <c r="J113" s="404">
        <f>'[3]Combined Overview'!O$93</f>
        <v>800</v>
      </c>
      <c r="K113" s="404">
        <f>'[3]Combined Overview'!P$93</f>
        <v>800</v>
      </c>
      <c r="L113" s="404">
        <f>'[3]Combined Overview'!Q$93</f>
        <v>1350</v>
      </c>
      <c r="M113" s="404">
        <f>'[3]Combined Overview'!R$93</f>
        <v>1050</v>
      </c>
      <c r="N113" s="404">
        <f>'[3]Combined Overview'!S$93</f>
        <v>1350</v>
      </c>
      <c r="O113" s="404">
        <f>'[3]Combined Overview'!T$93</f>
        <v>1050</v>
      </c>
      <c r="P113" s="470">
        <f t="shared" si="3"/>
        <v>12800</v>
      </c>
      <c r="Q113" s="437"/>
      <c r="R113" s="411"/>
      <c r="S113" s="407">
        <v>12800</v>
      </c>
      <c r="T113" s="404">
        <f>'[3]Combined Overview'!X$93</f>
        <v>3784.65</v>
      </c>
      <c r="U113" s="404">
        <f>'[4]6-Hm FY21 Budget Variance (P&amp;L)'!G117</f>
        <v>5284.65</v>
      </c>
      <c r="V113" s="404">
        <v>9100</v>
      </c>
      <c r="Z113" s="433"/>
    </row>
    <row r="114" spans="2:27" x14ac:dyDescent="0.25">
      <c r="B114" s="441" t="s">
        <v>467</v>
      </c>
      <c r="C114" s="418" t="s">
        <v>468</v>
      </c>
      <c r="D114" s="404">
        <f>'[3]Combined Overview'!I$95</f>
        <v>0</v>
      </c>
      <c r="E114" s="404">
        <f>'[3]Combined Overview'!J$95</f>
        <v>0</v>
      </c>
      <c r="F114" s="404">
        <f>'[3]Combined Overview'!K$95</f>
        <v>50</v>
      </c>
      <c r="G114" s="404">
        <f>'[3]Combined Overview'!L$95</f>
        <v>0</v>
      </c>
      <c r="H114" s="404">
        <f>'[3]Combined Overview'!M$95</f>
        <v>0</v>
      </c>
      <c r="I114" s="404">
        <f>'[3]Combined Overview'!N$95</f>
        <v>0</v>
      </c>
      <c r="J114" s="404">
        <f>'[3]Combined Overview'!O$95</f>
        <v>0</v>
      </c>
      <c r="K114" s="404">
        <f>'[3]Combined Overview'!P$95</f>
        <v>0</v>
      </c>
      <c r="L114" s="404">
        <f>'[3]Combined Overview'!Q$95</f>
        <v>50</v>
      </c>
      <c r="M114" s="404">
        <f>'[3]Combined Overview'!R$95</f>
        <v>0</v>
      </c>
      <c r="N114" s="404">
        <f>'[3]Combined Overview'!S$95</f>
        <v>0</v>
      </c>
      <c r="O114" s="404">
        <f>'[3]Combined Overview'!T$95</f>
        <v>0</v>
      </c>
      <c r="P114" s="470">
        <f t="shared" si="3"/>
        <v>100</v>
      </c>
      <c r="Q114" s="437"/>
      <c r="R114" s="411"/>
      <c r="S114" s="407">
        <v>100</v>
      </c>
      <c r="T114" s="404">
        <f>'[3]Combined Overview'!X$95</f>
        <v>255.16</v>
      </c>
      <c r="U114" s="404">
        <f>'[4]6-Hm FY21 Budget Variance (P&amp;L)'!G118</f>
        <v>255.16</v>
      </c>
      <c r="V114" s="404">
        <v>600</v>
      </c>
      <c r="Z114" s="433"/>
    </row>
    <row r="115" spans="2:27" x14ac:dyDescent="0.25">
      <c r="B115" s="441" t="s">
        <v>469</v>
      </c>
      <c r="C115" s="418" t="s">
        <v>470</v>
      </c>
      <c r="D115" s="404">
        <f>'[3]Combined Overview'!I$97</f>
        <v>0</v>
      </c>
      <c r="E115" s="404">
        <f>'[3]Combined Overview'!J$97</f>
        <v>0</v>
      </c>
      <c r="F115" s="404">
        <f>'[3]Combined Overview'!K$97</f>
        <v>0</v>
      </c>
      <c r="G115" s="404">
        <f>'[3]Combined Overview'!L$97</f>
        <v>0</v>
      </c>
      <c r="H115" s="404">
        <f>'[3]Combined Overview'!M$97</f>
        <v>0</v>
      </c>
      <c r="I115" s="404">
        <f>'[3]Combined Overview'!N$97</f>
        <v>0</v>
      </c>
      <c r="J115" s="404">
        <f>'[3]Combined Overview'!O$97</f>
        <v>0</v>
      </c>
      <c r="K115" s="404">
        <f>'[3]Combined Overview'!P$97</f>
        <v>0</v>
      </c>
      <c r="L115" s="404">
        <f>'[3]Combined Overview'!Q$97</f>
        <v>0</v>
      </c>
      <c r="M115" s="404">
        <f>'[3]Combined Overview'!R$97</f>
        <v>0</v>
      </c>
      <c r="N115" s="404">
        <f>'[3]Combined Overview'!S$97</f>
        <v>0</v>
      </c>
      <c r="O115" s="404">
        <f>'[3]Combined Overview'!T$97</f>
        <v>0</v>
      </c>
      <c r="P115" s="470">
        <f t="shared" si="3"/>
        <v>0</v>
      </c>
      <c r="Q115" s="437"/>
      <c r="R115" s="411"/>
      <c r="S115" s="407">
        <v>950</v>
      </c>
      <c r="T115" s="404">
        <f>'[3]Combined Overview'!X$97</f>
        <v>2462.54</v>
      </c>
      <c r="U115" s="404">
        <f>'[4]6-Hm FY21 Budget Variance (P&amp;L)'!G119</f>
        <v>2462.54</v>
      </c>
      <c r="V115" s="404">
        <v>0</v>
      </c>
      <c r="Z115" s="433"/>
    </row>
    <row r="116" spans="2:27" x14ac:dyDescent="0.25">
      <c r="B116" s="452" t="s">
        <v>347</v>
      </c>
      <c r="C116" s="418" t="s">
        <v>348</v>
      </c>
      <c r="D116" s="404">
        <f>'[3]Combined Overview'!I$108+'[3]Combined Overview'!I$179+'[3]Combined Overview'!I$215</f>
        <v>119906.66391666666</v>
      </c>
      <c r="E116" s="404">
        <f>'[3]Combined Overview'!J$108+'[3]Combined Overview'!J$179+'[3]Combined Overview'!J$215</f>
        <v>119906.66391666666</v>
      </c>
      <c r="F116" s="404">
        <f>'[3]Combined Overview'!K$108+'[3]Combined Overview'!K$179+'[3]Combined Overview'!K$215</f>
        <v>119906.66391666666</v>
      </c>
      <c r="G116" s="404">
        <f>'[3]Combined Overview'!L$108+'[3]Combined Overview'!L$179+'[3]Combined Overview'!L$215</f>
        <v>119906.66391666666</v>
      </c>
      <c r="H116" s="404">
        <f>'[3]Combined Overview'!M$108+'[3]Combined Overview'!M$179+'[3]Combined Overview'!M$215</f>
        <v>119906.66391666666</v>
      </c>
      <c r="I116" s="404">
        <f>'[3]Combined Overview'!N$108+'[3]Combined Overview'!N$179+'[3]Combined Overview'!N$215</f>
        <v>119906.66391666666</v>
      </c>
      <c r="J116" s="404">
        <f>'[3]Combined Overview'!O$108+'[3]Combined Overview'!O$179+'[3]Combined Overview'!O$215</f>
        <v>124073.33058333334</v>
      </c>
      <c r="K116" s="404">
        <f>'[3]Combined Overview'!P$108+'[3]Combined Overview'!P$179+'[3]Combined Overview'!P$215</f>
        <v>124073.33058333334</v>
      </c>
      <c r="L116" s="404">
        <f>'[3]Combined Overview'!Q$108+'[3]Combined Overview'!Q$179+'[3]Combined Overview'!Q$215</f>
        <v>124073.33058333334</v>
      </c>
      <c r="M116" s="404">
        <f>'[3]Combined Overview'!R$108+'[3]Combined Overview'!R$179+'[3]Combined Overview'!R$215</f>
        <v>131699.99725000001</v>
      </c>
      <c r="N116" s="404">
        <f>'[3]Combined Overview'!S$108+'[3]Combined Overview'!S$179+'[3]Combined Overview'!S$215</f>
        <v>131699.99724999996</v>
      </c>
      <c r="O116" s="404">
        <f>'[3]Combined Overview'!T$108+'[3]Combined Overview'!T$179+'[3]Combined Overview'!T$215</f>
        <v>131699.99724999996</v>
      </c>
      <c r="P116" s="470">
        <f t="shared" si="3"/>
        <v>1486760</v>
      </c>
      <c r="Q116" s="420" t="s">
        <v>528</v>
      </c>
      <c r="R116" s="411"/>
      <c r="S116" s="407">
        <v>1637449</v>
      </c>
      <c r="T116" s="404">
        <f>'[3]Combined Overview'!X$108+'[3]Combined Overview'!X$179+'[3]Combined Overview'!X$215</f>
        <v>1091882.01</v>
      </c>
      <c r="U116" s="404">
        <f>'[4]6-Hm FY21 Budget Variance (P&amp;L)'!G120</f>
        <v>1362627.17</v>
      </c>
      <c r="V116" s="404">
        <v>1556902.96</v>
      </c>
      <c r="W116" s="422"/>
      <c r="Z116" s="433"/>
    </row>
    <row r="117" spans="2:27" x14ac:dyDescent="0.25">
      <c r="B117" s="441">
        <v>5120</v>
      </c>
      <c r="C117" s="418" t="s">
        <v>197</v>
      </c>
      <c r="D117" s="404">
        <f>'[3]Combined Overview'!I$78</f>
        <v>500</v>
      </c>
      <c r="E117" s="404">
        <f>'[3]Combined Overview'!J$78</f>
        <v>500</v>
      </c>
      <c r="F117" s="404">
        <f>'[3]Combined Overview'!K$78</f>
        <v>500</v>
      </c>
      <c r="G117" s="404">
        <f>'[3]Combined Overview'!L$78</f>
        <v>500</v>
      </c>
      <c r="H117" s="404">
        <f>'[3]Combined Overview'!M$78</f>
        <v>500</v>
      </c>
      <c r="I117" s="404">
        <f>'[3]Combined Overview'!N$78</f>
        <v>500</v>
      </c>
      <c r="J117" s="404">
        <f>'[3]Combined Overview'!O$78</f>
        <v>500</v>
      </c>
      <c r="K117" s="404">
        <f>'[3]Combined Overview'!P$78</f>
        <v>500</v>
      </c>
      <c r="L117" s="404">
        <f>'[3]Combined Overview'!Q$78</f>
        <v>500</v>
      </c>
      <c r="M117" s="404">
        <f>'[3]Combined Overview'!R$78</f>
        <v>500</v>
      </c>
      <c r="N117" s="404">
        <f>'[3]Combined Overview'!S$78</f>
        <v>500</v>
      </c>
      <c r="O117" s="404">
        <f>'[3]Combined Overview'!T$78</f>
        <v>500</v>
      </c>
      <c r="P117" s="470">
        <f t="shared" si="3"/>
        <v>6000</v>
      </c>
      <c r="Q117" s="444" t="s">
        <v>529</v>
      </c>
      <c r="R117" s="411">
        <v>-12000</v>
      </c>
      <c r="S117" s="407">
        <v>6000</v>
      </c>
      <c r="T117" s="404">
        <f>'[3]Combined Overview'!X$78</f>
        <v>1816.38</v>
      </c>
      <c r="U117" s="404">
        <f>'[4]6-Hm FY21 Budget Variance (P&amp;L)'!G121</f>
        <v>2816.38</v>
      </c>
      <c r="V117" s="404">
        <v>15000</v>
      </c>
      <c r="Z117" s="433"/>
    </row>
    <row r="118" spans="2:27" x14ac:dyDescent="0.25">
      <c r="B118" s="452" t="s">
        <v>349</v>
      </c>
      <c r="C118" s="418" t="s">
        <v>198</v>
      </c>
      <c r="D118" s="404">
        <f>'[3]Combined Overview'!I$111+'[3]Combined Overview'!I$182+'[3]Combined Overview'!I$219</f>
        <v>10089.466666666667</v>
      </c>
      <c r="E118" s="404">
        <f>'[3]Combined Overview'!J$111+'[3]Combined Overview'!J$182+'[3]Combined Overview'!J$219</f>
        <v>10089.466666666667</v>
      </c>
      <c r="F118" s="404">
        <f>'[3]Combined Overview'!K$111+'[3]Combined Overview'!K$182+'[3]Combined Overview'!K$219</f>
        <v>10089.466666666667</v>
      </c>
      <c r="G118" s="404">
        <f>'[3]Combined Overview'!L$111+'[3]Combined Overview'!L$182+'[3]Combined Overview'!L$219</f>
        <v>10089.466666666667</v>
      </c>
      <c r="H118" s="404">
        <f>'[3]Combined Overview'!M$111+'[3]Combined Overview'!M$182+'[3]Combined Overview'!M$219</f>
        <v>10089.466666666667</v>
      </c>
      <c r="I118" s="404">
        <f>'[3]Combined Overview'!N$111+'[3]Combined Overview'!N$182+'[3]Combined Overview'!N$219</f>
        <v>10089.466666666667</v>
      </c>
      <c r="J118" s="404">
        <f>'[3]Combined Overview'!O$111+'[3]Combined Overview'!O$182+'[3]Combined Overview'!O$219</f>
        <v>0</v>
      </c>
      <c r="K118" s="404">
        <f>'[3]Combined Overview'!P$111+'[3]Combined Overview'!P$182+'[3]Combined Overview'!P$219</f>
        <v>0</v>
      </c>
      <c r="L118" s="404">
        <f>'[3]Combined Overview'!Q$111+'[3]Combined Overview'!Q$182+'[3]Combined Overview'!Q$219</f>
        <v>0</v>
      </c>
      <c r="M118" s="404">
        <f>'[3]Combined Overview'!R$111+'[3]Combined Overview'!R$182+'[3]Combined Overview'!R$219</f>
        <v>12298.413333333336</v>
      </c>
      <c r="N118" s="404">
        <f>'[3]Combined Overview'!S$111+'[3]Combined Overview'!S$182+'[3]Combined Overview'!S$219</f>
        <v>12298.413333333336</v>
      </c>
      <c r="O118" s="404">
        <f>'[3]Combined Overview'!T$111+'[3]Combined Overview'!T$182+'[3]Combined Overview'!T$219</f>
        <v>12298.413333333336</v>
      </c>
      <c r="P118" s="470">
        <f t="shared" si="3"/>
        <v>97433</v>
      </c>
      <c r="Q118" s="455" t="s">
        <v>530</v>
      </c>
      <c r="R118" s="411">
        <v>7000</v>
      </c>
      <c r="S118" s="407">
        <v>100833</v>
      </c>
      <c r="T118" s="404">
        <f>'[3]Combined Overview'!X$111+'[3]Combined Overview'!X$182+'[3]Combined Overview'!X$219</f>
        <v>37380</v>
      </c>
      <c r="U118" s="404">
        <f>'[4]6-Hm FY21 Budget Variance (P&amp;L)'!G122</f>
        <v>52280</v>
      </c>
      <c r="V118" s="404">
        <v>69120.959999999992</v>
      </c>
      <c r="Z118" s="433"/>
    </row>
    <row r="119" spans="2:27" x14ac:dyDescent="0.25">
      <c r="B119" s="418"/>
      <c r="C119" s="418"/>
      <c r="D119" s="419"/>
      <c r="E119" s="419"/>
      <c r="F119" s="419"/>
      <c r="G119" s="419"/>
      <c r="H119" s="419"/>
      <c r="I119" s="419"/>
      <c r="J119" s="419"/>
      <c r="K119" s="419"/>
      <c r="L119" s="419"/>
      <c r="M119" s="419"/>
      <c r="N119" s="419"/>
      <c r="O119" s="419"/>
      <c r="P119" s="405"/>
      <c r="Q119" s="420"/>
      <c r="R119" s="411"/>
      <c r="S119" s="407">
        <v>0</v>
      </c>
      <c r="T119" s="404"/>
      <c r="U119" s="404"/>
      <c r="V119" s="404"/>
      <c r="W119" s="438"/>
      <c r="Z119" s="433"/>
    </row>
    <row r="120" spans="2:27" x14ac:dyDescent="0.25">
      <c r="B120" s="418" t="s">
        <v>12</v>
      </c>
      <c r="C120" s="418" t="s">
        <v>531</v>
      </c>
      <c r="D120" s="456"/>
      <c r="E120" s="456"/>
      <c r="F120" s="456"/>
      <c r="G120" s="456"/>
      <c r="H120" s="456"/>
      <c r="I120" s="456"/>
      <c r="J120" s="456"/>
      <c r="K120" s="456"/>
      <c r="L120" s="456"/>
      <c r="M120" s="456"/>
      <c r="N120" s="456"/>
      <c r="O120" s="456"/>
      <c r="P120" s="405"/>
      <c r="Q120" s="420"/>
      <c r="R120" s="411"/>
      <c r="S120" s="407">
        <v>0</v>
      </c>
      <c r="T120" s="404">
        <f>529.08+75</f>
        <v>604.08000000000004</v>
      </c>
      <c r="U120" s="404">
        <v>604</v>
      </c>
      <c r="V120" s="404"/>
      <c r="Z120" s="433"/>
    </row>
    <row r="121" spans="2:27" x14ac:dyDescent="0.25">
      <c r="B121" s="457" t="s">
        <v>22</v>
      </c>
      <c r="C121" s="457"/>
      <c r="D121" s="458">
        <f t="shared" ref="D121:P121" si="4">SUM(D40:D120)</f>
        <v>440394.40704918193</v>
      </c>
      <c r="E121" s="458">
        <f t="shared" si="4"/>
        <v>236078.61111137102</v>
      </c>
      <c r="F121" s="458">
        <f t="shared" si="4"/>
        <v>242685.67411137102</v>
      </c>
      <c r="G121" s="458">
        <f t="shared" si="4"/>
        <v>275246.07111137098</v>
      </c>
      <c r="H121" s="458">
        <f t="shared" si="4"/>
        <v>231051.82611137105</v>
      </c>
      <c r="I121" s="458">
        <f t="shared" si="4"/>
        <v>329783.55411137105</v>
      </c>
      <c r="J121" s="458">
        <f t="shared" si="4"/>
        <v>336065.57639137103</v>
      </c>
      <c r="K121" s="458">
        <f t="shared" si="4"/>
        <v>238854.74339137104</v>
      </c>
      <c r="L121" s="458">
        <f t="shared" si="4"/>
        <v>426299.52576637099</v>
      </c>
      <c r="M121" s="458">
        <f t="shared" si="4"/>
        <v>499461.10663856007</v>
      </c>
      <c r="N121" s="458">
        <f t="shared" si="4"/>
        <v>38462.702357620969</v>
      </c>
      <c r="O121" s="458">
        <f t="shared" si="4"/>
        <v>1769923.9854930374</v>
      </c>
      <c r="P121" s="459">
        <f t="shared" si="4"/>
        <v>5146317</v>
      </c>
      <c r="Q121" s="460"/>
      <c r="R121" s="461">
        <v>-271000</v>
      </c>
      <c r="S121" s="461">
        <v>5081423</v>
      </c>
      <c r="T121" s="461">
        <f>SUM(T40:T120)</f>
        <v>3441291.0300000003</v>
      </c>
      <c r="U121" s="461">
        <f>SUM(U40:U120)</f>
        <v>4443044.669999999</v>
      </c>
      <c r="V121" s="461">
        <v>4455919</v>
      </c>
      <c r="Z121" s="433"/>
      <c r="AA121" s="438"/>
    </row>
    <row r="122" spans="2:27" x14ac:dyDescent="0.25">
      <c r="C122" s="390"/>
      <c r="D122" s="433">
        <f>+D121-'[3]Combined Overview'!I$251</f>
        <v>9.1819092631340027E-6</v>
      </c>
      <c r="E122" s="433">
        <f>+E121-'[3]Combined Overview'!J$251</f>
        <v>1.3710232451558113E-6</v>
      </c>
      <c r="F122" s="433">
        <f>+F121-'[3]Combined Overview'!K$251</f>
        <v>1.3710232451558113E-6</v>
      </c>
      <c r="G122" s="433">
        <f>+G121-'[3]Combined Overview'!L$251</f>
        <v>1.3709650374948978E-6</v>
      </c>
      <c r="H122" s="433">
        <f>+H121-'[3]Combined Overview'!M$251</f>
        <v>1.371052348986268E-6</v>
      </c>
      <c r="I122" s="433">
        <f>+I121-'[3]Combined Overview'!N$251</f>
        <v>1.3710232451558113E-6</v>
      </c>
      <c r="J122" s="433">
        <f>+J121-'[3]Combined Overview'!O$251</f>
        <v>-8.6289946921169758E-6</v>
      </c>
      <c r="K122" s="433">
        <f>+K121-'[3]Combined Overview'!P$251</f>
        <v>-8.6289655882865191E-6</v>
      </c>
      <c r="L122" s="433">
        <f>+L121-'[3]Combined Overview'!Q$251</f>
        <v>-1.3629032764583826E-5</v>
      </c>
      <c r="M122" s="433">
        <f>+M121-'[3]Combined Overview'!R$251</f>
        <v>-1.143990084528923E-5</v>
      </c>
      <c r="N122" s="433">
        <f>+N121-'[3]Combined Overview'!S$251</f>
        <v>-1.2379030522424728E-5</v>
      </c>
      <c r="O122" s="433">
        <f>+O121-'[3]Combined Overview'!T$251</f>
        <v>-1.6962643712759018E-5</v>
      </c>
      <c r="P122" s="392">
        <f>+P121-'[3]Combined Overview'!$U$251-50000-50000+18000</f>
        <v>9.2164500001817942</v>
      </c>
      <c r="Q122" s="462"/>
      <c r="R122" s="392"/>
      <c r="S122" s="392"/>
      <c r="T122" s="463">
        <f>+T121-'[4]April P&amp;L'!$K$250+529.08+75-529.08-75</f>
        <v>4.6566128730773926E-10</v>
      </c>
      <c r="U122" s="463">
        <f>+U121-'[4]6-Hm FY21 Budget Variance (P&amp;L)'!G128</f>
        <v>-8.0000000074505806E-2</v>
      </c>
      <c r="V122" s="392">
        <f>+V121-'[3]Combined Overview'!$Y$251</f>
        <v>0</v>
      </c>
      <c r="Y122" s="473">
        <f>SUM(Y40:Y120)</f>
        <v>0</v>
      </c>
    </row>
    <row r="123" spans="2:27" x14ac:dyDescent="0.25">
      <c r="P123" s="463"/>
      <c r="Q123" s="464"/>
      <c r="R123" s="463"/>
      <c r="S123" s="463"/>
      <c r="T123" s="463"/>
      <c r="U123" s="463"/>
      <c r="V123" s="463"/>
      <c r="Z123" s="433"/>
    </row>
    <row r="124" spans="2:27" ht="13.8" thickBot="1" x14ac:dyDescent="0.3">
      <c r="B124" s="465" t="s">
        <v>532</v>
      </c>
      <c r="C124" s="465"/>
      <c r="D124" s="466">
        <f t="shared" ref="D124:P124" si="5">D38-D121</f>
        <v>274113.59295081807</v>
      </c>
      <c r="E124" s="466">
        <f t="shared" si="5"/>
        <v>58393.388888628979</v>
      </c>
      <c r="F124" s="466">
        <f t="shared" si="5"/>
        <v>1480607.3258886291</v>
      </c>
      <c r="G124" s="466">
        <f t="shared" si="5"/>
        <v>18922.928888629016</v>
      </c>
      <c r="H124" s="466">
        <f t="shared" si="5"/>
        <v>13553.173888628953</v>
      </c>
      <c r="I124" s="466">
        <f t="shared" si="5"/>
        <v>179380.44588862895</v>
      </c>
      <c r="J124" s="466">
        <f t="shared" si="5"/>
        <v>116492.42360862897</v>
      </c>
      <c r="K124" s="466">
        <f t="shared" si="5"/>
        <v>-15638.743391371041</v>
      </c>
      <c r="L124" s="466">
        <f t="shared" si="5"/>
        <v>-145589.52576637099</v>
      </c>
      <c r="M124" s="466">
        <f t="shared" si="5"/>
        <v>-182360.10663856007</v>
      </c>
      <c r="N124" s="466">
        <f t="shared" si="5"/>
        <v>503797.29764237901</v>
      </c>
      <c r="O124" s="466">
        <f t="shared" si="5"/>
        <v>-733185.98549303738</v>
      </c>
      <c r="P124" s="467">
        <f t="shared" si="5"/>
        <v>1497326</v>
      </c>
      <c r="Q124" s="468"/>
      <c r="R124" s="467">
        <v>274253.8</v>
      </c>
      <c r="S124" s="467">
        <v>194642.8</v>
      </c>
      <c r="T124" s="467">
        <f>T38-T121+T123-208+208</f>
        <v>421731.71999999927</v>
      </c>
      <c r="U124" s="467">
        <f>U38-U121+U123</f>
        <v>152712.08000000101</v>
      </c>
      <c r="V124" s="467">
        <f>V38-V121</f>
        <v>43560</v>
      </c>
    </row>
    <row r="125" spans="2:27" ht="13.8" thickTop="1" x14ac:dyDescent="0.25">
      <c r="C125" s="390"/>
      <c r="D125" s="422">
        <f>+D124-'[3]Combined Overview'!I$252</f>
        <v>0.98166081809904426</v>
      </c>
      <c r="E125" s="422">
        <f>+E124-'[3]Combined Overview'!J$252</f>
        <v>0.98166862897778628</v>
      </c>
      <c r="F125" s="422">
        <f>+F124-'[3]Combined Overview'!K$252</f>
        <v>0.98166862898506224</v>
      </c>
      <c r="G125" s="422">
        <f>+G124-'[3]Combined Overview'!L$252</f>
        <v>0.98166862901780405</v>
      </c>
      <c r="H125" s="422">
        <f>+H124-'[3]Combined Overview'!M$252</f>
        <v>0.98166862895232043</v>
      </c>
      <c r="I125" s="422">
        <f>+I124-'[3]Combined Overview'!N$252</f>
        <v>0.98166862895595841</v>
      </c>
      <c r="J125" s="422">
        <f>+J124-'[3]Combined Overview'!O$252</f>
        <v>0.98167862897389568</v>
      </c>
      <c r="K125" s="422">
        <f>+K124-'[3]Combined Overview'!P$252</f>
        <v>0.98167862895934377</v>
      </c>
      <c r="L125" s="422">
        <f>+L124-'[3]Combined Overview'!Q$252</f>
        <v>0.63168362900614738</v>
      </c>
      <c r="M125" s="422">
        <f>+M124-'[3]Combined Overview'!R$252</f>
        <v>0.13168143993243575</v>
      </c>
      <c r="N125" s="422">
        <f>+N124-'[3]Combined Overview'!S$252</f>
        <v>0.41918237903155386</v>
      </c>
      <c r="O125" s="422">
        <f>+O124-'[3]Combined Overview'!T$252</f>
        <v>0.1316869625588879</v>
      </c>
      <c r="P125" s="392">
        <f>SUM(D125:O125)</f>
        <v>9.16759563145024</v>
      </c>
      <c r="Q125" s="462"/>
      <c r="R125" s="392"/>
      <c r="S125" s="392"/>
      <c r="T125" s="463">
        <f>+T124-'[4]April P&amp;L'!$K$252+529.08+75-1000+396</f>
        <v>7.9999999301548996E-2</v>
      </c>
      <c r="U125" s="463">
        <f>+U124-'[4]6-Hm FY21 Budget Variance (P&amp;L)'!G131</f>
        <v>8.0000000074505806E-2</v>
      </c>
      <c r="V125" s="392">
        <f>+V124-'[3]Combined Overview'!$Y$253</f>
        <v>0</v>
      </c>
    </row>
    <row r="126" spans="2:27" x14ac:dyDescent="0.25">
      <c r="B126" s="432"/>
      <c r="T126" s="433"/>
      <c r="U126" s="433"/>
    </row>
    <row r="127" spans="2:27" x14ac:dyDescent="0.25">
      <c r="C127" s="362"/>
      <c r="D127" s="2"/>
      <c r="E127" s="2"/>
      <c r="F127" s="2"/>
      <c r="G127" s="2"/>
      <c r="H127" s="2"/>
      <c r="I127" s="2"/>
      <c r="J127" s="2"/>
      <c r="K127" s="2"/>
      <c r="L127" s="2"/>
      <c r="M127" s="2"/>
      <c r="N127" s="2"/>
      <c r="O127" s="362"/>
      <c r="P127" s="335"/>
      <c r="T127" s="433"/>
    </row>
    <row r="128" spans="2:27" x14ac:dyDescent="0.25">
      <c r="C128" s="362"/>
      <c r="D128" s="2"/>
      <c r="E128" s="2"/>
      <c r="F128" s="2"/>
      <c r="G128" s="2"/>
      <c r="H128" s="2"/>
      <c r="I128" s="2"/>
      <c r="J128" s="2"/>
      <c r="K128" s="2"/>
      <c r="L128" s="2"/>
      <c r="M128" s="2"/>
      <c r="N128" s="2"/>
      <c r="O128" s="362"/>
      <c r="P128" s="335"/>
    </row>
    <row r="129" spans="3:16" x14ac:dyDescent="0.25">
      <c r="C129" s="362"/>
      <c r="D129" s="2"/>
      <c r="E129" s="2"/>
      <c r="F129" s="2"/>
      <c r="G129" s="2"/>
      <c r="H129" s="2"/>
      <c r="I129" s="2"/>
      <c r="J129" s="2"/>
      <c r="K129" s="2"/>
      <c r="L129" s="2"/>
      <c r="M129" s="2"/>
      <c r="N129" s="2"/>
      <c r="O129" s="362"/>
      <c r="P129" s="335"/>
    </row>
    <row r="130" spans="3:16" x14ac:dyDescent="0.25">
      <c r="C130" s="362"/>
      <c r="D130" s="2"/>
      <c r="E130" s="2"/>
      <c r="F130" s="2"/>
      <c r="G130" s="2"/>
      <c r="H130" s="2"/>
      <c r="I130" s="2"/>
      <c r="J130" s="2"/>
      <c r="K130" s="2"/>
      <c r="L130" s="2"/>
      <c r="M130" s="2"/>
      <c r="N130" s="2"/>
      <c r="O130" s="362"/>
      <c r="P130" s="335"/>
    </row>
    <row r="131" spans="3:16" x14ac:dyDescent="0.25">
      <c r="C131" s="362"/>
      <c r="D131" s="2"/>
      <c r="E131" s="2"/>
      <c r="F131" s="2"/>
      <c r="G131" s="2"/>
      <c r="H131" s="2"/>
      <c r="I131" s="2"/>
      <c r="J131" s="2"/>
      <c r="K131" s="2"/>
      <c r="L131" s="2"/>
      <c r="M131" s="2"/>
      <c r="N131" s="2"/>
      <c r="O131" s="362"/>
      <c r="P131" s="335"/>
    </row>
    <row r="132" spans="3:16" x14ac:dyDescent="0.25">
      <c r="C132" s="362"/>
      <c r="D132" s="2"/>
      <c r="E132" s="2"/>
      <c r="F132" s="2"/>
      <c r="G132" s="2"/>
      <c r="H132" s="2"/>
      <c r="I132" s="2"/>
      <c r="J132" s="2"/>
      <c r="K132" s="2"/>
      <c r="L132" s="2"/>
      <c r="M132" s="2"/>
      <c r="N132" s="2"/>
      <c r="O132" s="362"/>
      <c r="P132" s="335"/>
    </row>
    <row r="133" spans="3:16" x14ac:dyDescent="0.25">
      <c r="C133" s="362"/>
      <c r="D133" s="2"/>
      <c r="E133" s="2"/>
      <c r="F133" s="2"/>
      <c r="G133" s="2"/>
      <c r="H133" s="2"/>
      <c r="I133" s="2"/>
      <c r="J133" s="2"/>
      <c r="K133" s="2"/>
      <c r="L133" s="2"/>
      <c r="M133" s="2"/>
      <c r="N133" s="2"/>
      <c r="O133" s="362"/>
      <c r="P133" s="335"/>
    </row>
    <row r="134" spans="3:16" x14ac:dyDescent="0.25">
      <c r="C134" s="362"/>
      <c r="D134" s="2"/>
      <c r="E134" s="2"/>
      <c r="F134" s="2"/>
      <c r="G134" s="2"/>
      <c r="H134" s="2"/>
      <c r="I134" s="2"/>
      <c r="J134" s="2"/>
      <c r="K134" s="2"/>
      <c r="L134" s="2"/>
      <c r="M134" s="2"/>
      <c r="N134" s="2"/>
      <c r="O134" s="362"/>
      <c r="P134" s="335"/>
    </row>
    <row r="135" spans="3:16" x14ac:dyDescent="0.25">
      <c r="C135" s="362"/>
      <c r="D135" s="2"/>
      <c r="E135" s="2"/>
      <c r="F135" s="2"/>
      <c r="G135" s="2"/>
      <c r="H135" s="2"/>
      <c r="I135" s="2"/>
      <c r="J135" s="2"/>
      <c r="K135" s="2"/>
      <c r="L135" s="2"/>
      <c r="M135" s="2"/>
      <c r="N135" s="2"/>
      <c r="O135" s="362"/>
      <c r="P135" s="335"/>
    </row>
    <row r="137" spans="3:16" x14ac:dyDescent="0.25">
      <c r="C137" s="362"/>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E4141-6993-4F35-9C68-4CD4CF98E4DB}">
  <dimension ref="A1:P53"/>
  <sheetViews>
    <sheetView topLeftCell="A26" zoomScaleNormal="100" workbookViewId="0">
      <selection activeCell="C29" sqref="C29"/>
    </sheetView>
  </sheetViews>
  <sheetFormatPr defaultColWidth="9.33203125" defaultRowHeight="12" x14ac:dyDescent="0.25"/>
  <cols>
    <col min="1" max="1" width="24.33203125" style="512" customWidth="1"/>
    <col min="2" max="2" width="9.33203125" style="510" hidden="1" customWidth="1"/>
    <col min="3" max="3" width="15.6640625" style="511" bestFit="1" customWidth="1"/>
    <col min="4" max="4" width="15.6640625" style="481" customWidth="1"/>
    <col min="5" max="5" width="17.33203125" style="481" bestFit="1" customWidth="1"/>
    <col min="6" max="7" width="14.33203125" style="481" hidden="1" customWidth="1"/>
    <col min="8" max="8" width="29.6640625" style="481" customWidth="1"/>
    <col min="9" max="9" width="14.33203125" style="481" customWidth="1"/>
    <col min="10" max="12" width="9.33203125" style="510"/>
    <col min="13" max="13" width="11.5546875" style="510" bestFit="1" customWidth="1"/>
    <col min="14" max="14" width="13.33203125" style="510" bestFit="1" customWidth="1"/>
    <col min="15" max="15" width="9.33203125" style="510"/>
    <col min="16" max="16" width="11.5546875" style="510" bestFit="1" customWidth="1"/>
    <col min="17" max="16384" width="9.33203125" style="510"/>
  </cols>
  <sheetData>
    <row r="1" spans="1:16" s="508" customFormat="1" ht="16.95" customHeight="1" x14ac:dyDescent="0.3">
      <c r="A1" s="565" t="s">
        <v>0</v>
      </c>
      <c r="B1" s="565"/>
      <c r="C1" s="565"/>
      <c r="D1" s="565"/>
      <c r="E1" s="565"/>
      <c r="F1" s="565"/>
      <c r="G1" s="565"/>
      <c r="H1" s="565"/>
      <c r="I1" s="525"/>
      <c r="J1" s="525"/>
      <c r="K1" s="507"/>
    </row>
    <row r="2" spans="1:16" s="508" customFormat="1" ht="16.95" customHeight="1" x14ac:dyDescent="0.3">
      <c r="A2" s="565" t="s">
        <v>552</v>
      </c>
      <c r="B2" s="565"/>
      <c r="C2" s="565"/>
      <c r="D2" s="565"/>
      <c r="E2" s="565"/>
      <c r="F2" s="565"/>
      <c r="G2" s="565"/>
      <c r="H2" s="565"/>
      <c r="I2" s="525"/>
      <c r="J2" s="525"/>
      <c r="K2" s="507"/>
    </row>
    <row r="3" spans="1:16" s="508" customFormat="1" ht="16.95" customHeight="1" x14ac:dyDescent="0.3">
      <c r="A3" s="565" t="s">
        <v>575</v>
      </c>
      <c r="B3" s="565"/>
      <c r="C3" s="565"/>
      <c r="D3" s="565"/>
      <c r="E3" s="565"/>
      <c r="F3" s="565"/>
      <c r="G3" s="565"/>
      <c r="H3" s="565"/>
      <c r="I3" s="525"/>
      <c r="J3" s="525"/>
      <c r="K3" s="507"/>
    </row>
    <row r="4" spans="1:16" s="508" customFormat="1" ht="16.95" customHeight="1" x14ac:dyDescent="0.3">
      <c r="A4" s="525"/>
      <c r="B4" s="525"/>
      <c r="C4" s="526"/>
      <c r="D4" s="527"/>
      <c r="E4" s="527"/>
      <c r="F4" s="527"/>
      <c r="G4" s="527"/>
      <c r="H4" s="527"/>
      <c r="I4" s="527"/>
      <c r="J4" s="525"/>
      <c r="K4" s="507"/>
    </row>
    <row r="6" spans="1:16" x14ac:dyDescent="0.25">
      <c r="A6" s="530" t="s">
        <v>1</v>
      </c>
      <c r="C6" s="560" t="s">
        <v>485</v>
      </c>
      <c r="D6" s="561" t="s">
        <v>535</v>
      </c>
      <c r="E6" s="562" t="s">
        <v>595</v>
      </c>
      <c r="F6" s="482" t="s">
        <v>540</v>
      </c>
      <c r="G6" s="482" t="s">
        <v>541</v>
      </c>
      <c r="H6" s="542" t="s">
        <v>545</v>
      </c>
      <c r="I6" s="482"/>
    </row>
    <row r="7" spans="1:16" ht="36.75" customHeight="1" x14ac:dyDescent="0.25">
      <c r="A7" s="531" t="s">
        <v>8</v>
      </c>
      <c r="B7" s="532">
        <v>1</v>
      </c>
      <c r="C7" s="533">
        <f>'cash budget'!P4+'cash budget'!P5+'cash budget'!P6+'cash budget'!P7</f>
        <v>466349.5</v>
      </c>
      <c r="D7" s="534">
        <f>SUM('FC-Final Cash'!$P$4:$P$7)</f>
        <v>542000</v>
      </c>
      <c r="E7" s="534">
        <f>SUM('[1]6-Hm Cash Budget-FY21'!$V$4:$V$7)</f>
        <v>362023.46</v>
      </c>
      <c r="F7" s="534"/>
      <c r="G7" s="534"/>
      <c r="H7" s="500" t="s">
        <v>577</v>
      </c>
    </row>
    <row r="8" spans="1:16" ht="36.75" customHeight="1" x14ac:dyDescent="0.25">
      <c r="A8" s="531" t="s">
        <v>9</v>
      </c>
      <c r="B8" s="532">
        <v>2</v>
      </c>
      <c r="C8" s="533">
        <f>'cash budget'!P8+'cash budget'!P9+'cash budget'!P10+'cash budget'!P11+'cash budget'!P12</f>
        <v>242500</v>
      </c>
      <c r="D8" s="534">
        <f>SUM('FC-Final Cash'!$P$8:$P$12)</f>
        <v>500500</v>
      </c>
      <c r="E8" s="534">
        <f>SUM('[1]6-Hm Cash Budget-FY21'!$V$8:$V$12)</f>
        <v>503385.94</v>
      </c>
      <c r="F8" s="534"/>
      <c r="G8" s="534"/>
      <c r="H8" s="506" t="s">
        <v>596</v>
      </c>
    </row>
    <row r="9" spans="1:16" ht="61.5" customHeight="1" x14ac:dyDescent="0.25">
      <c r="A9" s="531" t="s">
        <v>597</v>
      </c>
      <c r="B9" s="532">
        <v>3</v>
      </c>
      <c r="C9" s="533">
        <f>'cash budget'!P14+'cash budget'!P15+'cash budget'!P16+'cash budget'!P17+'cash budget'!P18+'cash budget'!P19</f>
        <v>2098570.6124999998</v>
      </c>
      <c r="D9" s="534">
        <f>SUM('FC-Final Cash'!$P$13:$P$15)</f>
        <v>1956000</v>
      </c>
      <c r="E9" s="534">
        <f>SUM(F9:G9)</f>
        <v>1845635.13</v>
      </c>
      <c r="F9" s="534">
        <f>SUM('[1]6-Hm Cash Budget-FY21'!$U$14:$U$19)</f>
        <v>1505635.13</v>
      </c>
      <c r="G9" s="534">
        <f>135000*2+70000</f>
        <v>340000</v>
      </c>
      <c r="H9" s="506" t="s">
        <v>598</v>
      </c>
      <c r="M9" s="528"/>
    </row>
    <row r="10" spans="1:16" ht="47.7" customHeight="1" x14ac:dyDescent="0.25">
      <c r="A10" s="531" t="s">
        <v>12</v>
      </c>
      <c r="B10" s="532">
        <v>4</v>
      </c>
      <c r="C10" s="533">
        <f>'cash budget'!P20+'cash budget'!P21+'cash budget'!P22+'cash budget'!P23+'cash budget'!P24+'cash budget'!P13+0.67</f>
        <v>105363.89</v>
      </c>
      <c r="D10" s="534">
        <f>SUM('FC-Final Cash'!$P$16:$P$20)</f>
        <v>94890</v>
      </c>
      <c r="E10" s="534">
        <f>'[1]6-Hm Cash Budget-FY21'!$U$13+'[1]6-Hm Cash Budget-FY21'!$V$13+'[1]6-Hm Cash Budget-FY21'!$V$20+'[1]6-Hm Cash Budget-FY21'!$V$21+'[1]6-Hm Cash Budget-FY21'!$V$22+'[1]6-Hm Cash Budget-FY21'!$V$23+'[1]6-Hm Cash Budget-FY21'!$V$24</f>
        <v>190636.73</v>
      </c>
      <c r="F10" s="534"/>
      <c r="G10" s="534"/>
      <c r="H10" s="506" t="s">
        <v>599</v>
      </c>
      <c r="N10" s="528"/>
      <c r="P10" s="528"/>
    </row>
    <row r="11" spans="1:16" ht="37.200000000000003" customHeight="1" x14ac:dyDescent="0.25">
      <c r="A11" s="531" t="s">
        <v>30</v>
      </c>
      <c r="B11" s="532">
        <v>5</v>
      </c>
      <c r="C11" s="533">
        <f>'cash budget'!P25</f>
        <v>390000</v>
      </c>
      <c r="D11" s="534">
        <v>0</v>
      </c>
      <c r="E11" s="534">
        <f>'[1]6-Hm Cash Budget-FY21'!$V$25</f>
        <v>587587</v>
      </c>
      <c r="F11" s="534"/>
      <c r="G11" s="534"/>
      <c r="H11" s="500" t="s">
        <v>549</v>
      </c>
    </row>
    <row r="12" spans="1:16" ht="39" customHeight="1" x14ac:dyDescent="0.25">
      <c r="A12" s="531" t="s">
        <v>31</v>
      </c>
      <c r="B12" s="532">
        <v>6</v>
      </c>
      <c r="C12" s="533">
        <f>'cash budget'!P26</f>
        <v>312400</v>
      </c>
      <c r="D12" s="534">
        <f>+'FC-Final Cash'!$P$22+0.08</f>
        <v>272507</v>
      </c>
      <c r="E12" s="534">
        <f>'[1]6-Hm Cash Budget-FY21'!$V$26</f>
        <v>260534.44999999998</v>
      </c>
      <c r="F12" s="534"/>
      <c r="G12" s="534"/>
      <c r="H12" s="500" t="s">
        <v>583</v>
      </c>
      <c r="I12" s="514"/>
      <c r="N12" s="528"/>
    </row>
    <row r="13" spans="1:16" ht="15" customHeight="1" x14ac:dyDescent="0.25">
      <c r="C13" s="513"/>
      <c r="D13" s="514"/>
      <c r="E13" s="514"/>
      <c r="F13" s="514"/>
      <c r="G13" s="514"/>
      <c r="H13" s="496"/>
      <c r="I13" s="514"/>
      <c r="N13" s="528"/>
    </row>
    <row r="14" spans="1:16" ht="15" customHeight="1" x14ac:dyDescent="0.25">
      <c r="A14" s="515" t="s">
        <v>39</v>
      </c>
      <c r="B14" s="516"/>
      <c r="C14" s="517">
        <f>SUM(C7:C12)</f>
        <v>3615184.0024999999</v>
      </c>
      <c r="D14" s="518">
        <f>SUM(D7:D12)</f>
        <v>3365897</v>
      </c>
      <c r="E14" s="518">
        <f>SUM(E7:E12)</f>
        <v>3749802.71</v>
      </c>
      <c r="F14" s="519"/>
      <c r="G14" s="519"/>
      <c r="H14" s="519"/>
      <c r="I14" s="519"/>
    </row>
    <row r="15" spans="1:16" x14ac:dyDescent="0.25">
      <c r="D15" s="514"/>
      <c r="E15" s="514"/>
      <c r="F15" s="514"/>
      <c r="G15" s="514"/>
      <c r="H15" s="514"/>
      <c r="I15" s="514"/>
    </row>
    <row r="16" spans="1:16" x14ac:dyDescent="0.25">
      <c r="A16" s="530" t="s">
        <v>14</v>
      </c>
    </row>
    <row r="17" spans="1:13" ht="69.45" customHeight="1" x14ac:dyDescent="0.25">
      <c r="A17" s="506" t="s">
        <v>542</v>
      </c>
      <c r="B17" s="532">
        <v>1</v>
      </c>
      <c r="C17" s="537">
        <f>'cash budget'!P39+'cash budget'!P55+'cash budget'!P56+'cash budget'!P72+'cash budget'!P85+'cash budget'!P100</f>
        <v>1842626</v>
      </c>
      <c r="D17" s="534">
        <f>ROUNDUP('P&amp;L FY20'!H21,0)</f>
        <v>1914521</v>
      </c>
      <c r="E17" s="534">
        <f>F17+G17</f>
        <v>1478409</v>
      </c>
      <c r="F17" s="534">
        <f>1000077+94200+241900</f>
        <v>1336177</v>
      </c>
      <c r="G17" s="534">
        <f>SUM(11300+176+710+6800+91+455)+(60000)*2+1700+1000</f>
        <v>142232</v>
      </c>
      <c r="H17" s="506" t="s">
        <v>600</v>
      </c>
    </row>
    <row r="18" spans="1:13" ht="42" customHeight="1" x14ac:dyDescent="0.25">
      <c r="A18" s="506" t="s">
        <v>534</v>
      </c>
      <c r="B18" s="532">
        <v>3</v>
      </c>
      <c r="C18" s="537">
        <f>'cash budget'!P47+'cash budget'!P67+'cash budget'!P38</f>
        <v>52778</v>
      </c>
      <c r="D18" s="534">
        <f>+'P&amp;L FY20'!H22</f>
        <v>28375</v>
      </c>
      <c r="E18" s="534">
        <f>SUM(F18:G18)</f>
        <v>26700</v>
      </c>
      <c r="F18" s="534">
        <f>5100+1700+9000+3600+600+4900+300</f>
        <v>25200</v>
      </c>
      <c r="G18" s="534">
        <f>500+500+500</f>
        <v>1500</v>
      </c>
      <c r="H18" s="500" t="s">
        <v>550</v>
      </c>
    </row>
    <row r="19" spans="1:13" ht="84" customHeight="1" x14ac:dyDescent="0.25">
      <c r="A19" s="536" t="s">
        <v>29</v>
      </c>
      <c r="B19" s="532">
        <v>4</v>
      </c>
      <c r="C19" s="537">
        <f>'cash budget'!P37+'cash budget'!P57+'cash budget'!P76+'cash budget'!P78</f>
        <v>157067</v>
      </c>
      <c r="D19" s="534">
        <v>155758</v>
      </c>
      <c r="E19" s="534">
        <f>82000+15383+6415+5100</f>
        <v>108898</v>
      </c>
      <c r="F19" s="534"/>
      <c r="G19" s="534"/>
      <c r="H19" s="500" t="s">
        <v>607</v>
      </c>
    </row>
    <row r="20" spans="1:13" ht="39.75" customHeight="1" x14ac:dyDescent="0.25">
      <c r="A20" s="536" t="s">
        <v>28</v>
      </c>
      <c r="B20" s="532"/>
      <c r="C20" s="534">
        <f>'P&amp;L FY21-BOD Approved 06.2020'!H22</f>
        <v>172505.92</v>
      </c>
      <c r="D20" s="534">
        <f>+'P&amp;L FY20'!H24</f>
        <v>104580.36</v>
      </c>
      <c r="E20" s="534">
        <f>SUM(F20:G20)</f>
        <v>112882</v>
      </c>
      <c r="F20" s="534">
        <f>501+7500+400+4200+1300+400+800+9300+500+5400+75+13300+47700+9100+1800-10144</f>
        <v>92132</v>
      </c>
      <c r="G20" s="534">
        <f>1200+4000+150+8000+400+5000+2000+1000+1200+1800-4000</f>
        <v>20750</v>
      </c>
      <c r="H20" s="500" t="s">
        <v>608</v>
      </c>
    </row>
    <row r="21" spans="1:13" ht="48" x14ac:dyDescent="0.25">
      <c r="A21" s="536" t="s">
        <v>18</v>
      </c>
      <c r="B21" s="532"/>
      <c r="C21" s="537">
        <f>'cash budget'!P43+'cash budget'!P64+'cash budget'!P102</f>
        <v>157790</v>
      </c>
      <c r="D21" s="534">
        <f>+'P&amp;L FY20'!H25</f>
        <v>122006.08167</v>
      </c>
      <c r="E21" s="534">
        <f>16253+35000+68600+7900+2400</f>
        <v>130153</v>
      </c>
      <c r="F21" s="534"/>
      <c r="G21" s="534"/>
      <c r="H21" s="500" t="s">
        <v>547</v>
      </c>
    </row>
    <row r="22" spans="1:13" ht="27.75" customHeight="1" x14ac:dyDescent="0.25">
      <c r="A22" s="536" t="s">
        <v>19</v>
      </c>
      <c r="B22" s="532"/>
      <c r="C22" s="537">
        <f>'cash budget'!P59</f>
        <v>66287</v>
      </c>
      <c r="D22" s="534">
        <f>+'P&amp;L FY20'!H26</f>
        <v>33020</v>
      </c>
      <c r="E22" s="534">
        <f>24965+2400+2400</f>
        <v>29765</v>
      </c>
      <c r="F22" s="534"/>
      <c r="G22" s="534"/>
      <c r="H22" s="500" t="s">
        <v>589</v>
      </c>
    </row>
    <row r="23" spans="1:13" ht="54" customHeight="1" x14ac:dyDescent="0.25">
      <c r="A23" s="506" t="s">
        <v>537</v>
      </c>
      <c r="B23" s="532"/>
      <c r="C23" s="534">
        <f>315058-18000+50000+50000</f>
        <v>397058</v>
      </c>
      <c r="D23" s="534">
        <f>+'P&amp;L FY20'!H27-3.75</f>
        <v>237015.06</v>
      </c>
      <c r="E23" s="534">
        <f>SUM(F23:G23)</f>
        <v>224189</v>
      </c>
      <c r="F23" s="534">
        <f>22300+513+4900+3700+2300+9800+18200+5900+7300+10900+1200+1400+606+450+522+7300+4400+7300+2400+4100+1800+1100+700+1300+825+75+103+12000+3200+513+600+1000+13400+2300+3600+14300+1600+18700+1600</f>
        <v>194207</v>
      </c>
      <c r="G23" s="534">
        <f>SUM(2200+100+75+75+1000+1000+100+100+1900+1900+100+100+500+100+100+1300)+SUM(5000+250+2500)+SUM(1600+132+160+200+350+285+100+100+100+100+68+130+600+270+250+250+355+160+500+81)*2</f>
        <v>29982</v>
      </c>
      <c r="H23" s="500" t="s">
        <v>590</v>
      </c>
      <c r="M23" s="528"/>
    </row>
    <row r="24" spans="1:13" ht="48" x14ac:dyDescent="0.25">
      <c r="A24" s="506" t="s">
        <v>27</v>
      </c>
      <c r="B24" s="532">
        <v>5</v>
      </c>
      <c r="C24" s="537">
        <f>'cash budget'!P54+'cash budget'!P77</f>
        <v>32785</v>
      </c>
      <c r="D24" s="534">
        <f>+'P&amp;L FY20'!H28</f>
        <v>24691.5</v>
      </c>
      <c r="E24" s="534">
        <f>SUM(F24:G24)</f>
        <v>24345</v>
      </c>
      <c r="F24" s="534">
        <f>3600+4800+14400+600</f>
        <v>23400</v>
      </c>
      <c r="G24" s="534">
        <f>120+200+225+400</f>
        <v>945</v>
      </c>
      <c r="H24" s="500" t="s">
        <v>594</v>
      </c>
      <c r="K24" s="520"/>
    </row>
    <row r="25" spans="1:13" ht="24" x14ac:dyDescent="0.25">
      <c r="A25" s="506" t="s">
        <v>23</v>
      </c>
      <c r="B25" s="532">
        <v>6</v>
      </c>
      <c r="C25" s="537">
        <f>'cash budget'!P36+'cash budget'!P63+'cash budget'!P73-661.92</f>
        <v>24808.080000000002</v>
      </c>
      <c r="D25" s="534">
        <f>+'P&amp;L FY20'!H30</f>
        <v>22975</v>
      </c>
      <c r="E25" s="534">
        <f>14950+3500+5750</f>
        <v>24200</v>
      </c>
      <c r="F25" s="534"/>
      <c r="G25" s="534"/>
      <c r="H25" s="500" t="s">
        <v>548</v>
      </c>
      <c r="M25" s="528"/>
    </row>
    <row r="26" spans="1:13" ht="52.5" customHeight="1" x14ac:dyDescent="0.25">
      <c r="A26" s="506" t="s">
        <v>32</v>
      </c>
      <c r="B26" s="532">
        <v>7</v>
      </c>
      <c r="C26" s="537">
        <f>'cash budget'!P48+'cash budget'!P104</f>
        <v>140700</v>
      </c>
      <c r="D26" s="534">
        <f>+'FC-Final Cash'!$P$96+'FC-Final Cash'!$P$43</f>
        <v>135000</v>
      </c>
      <c r="E26" s="534">
        <v>74891</v>
      </c>
      <c r="F26" s="534"/>
      <c r="G26" s="534"/>
      <c r="H26" s="500" t="s">
        <v>609</v>
      </c>
    </row>
    <row r="27" spans="1:13" ht="40.5" customHeight="1" x14ac:dyDescent="0.25">
      <c r="A27" s="536" t="s">
        <v>21</v>
      </c>
      <c r="B27" s="532">
        <v>8</v>
      </c>
      <c r="C27" s="537">
        <f>'cash budget'!P60</f>
        <v>85000</v>
      </c>
      <c r="D27" s="534">
        <f>+'P&amp;L FY20'!H32</f>
        <v>70000</v>
      </c>
      <c r="E27" s="534">
        <v>95000</v>
      </c>
      <c r="F27" s="534"/>
      <c r="G27" s="534"/>
      <c r="H27" s="500" t="s">
        <v>610</v>
      </c>
    </row>
    <row r="28" spans="1:13" ht="24" x14ac:dyDescent="0.25">
      <c r="A28" s="536" t="s">
        <v>33</v>
      </c>
      <c r="B28" s="532">
        <v>9</v>
      </c>
      <c r="C28" s="537">
        <f>'cash budget'!P103</f>
        <v>59471</v>
      </c>
      <c r="D28" s="534">
        <f>+'FC-Final Cash'!$P$95</f>
        <v>56738</v>
      </c>
      <c r="E28" s="534">
        <f>42353+5100+5100</f>
        <v>52553</v>
      </c>
      <c r="F28" s="534"/>
      <c r="G28" s="534"/>
      <c r="H28" s="500" t="s">
        <v>611</v>
      </c>
    </row>
    <row r="29" spans="1:13" ht="75.45" customHeight="1" x14ac:dyDescent="0.25">
      <c r="A29" s="536" t="s">
        <v>34</v>
      </c>
      <c r="B29" s="532">
        <v>10</v>
      </c>
      <c r="C29" s="537">
        <f>'cash budget'!P105</f>
        <v>774948</v>
      </c>
      <c r="D29" s="534">
        <f>+'FC-Final Cash'!$P$97</f>
        <v>546250</v>
      </c>
      <c r="E29" s="534">
        <f>802206+105500</f>
        <v>907706</v>
      </c>
      <c r="F29" s="534"/>
      <c r="G29" s="534"/>
      <c r="H29" s="500" t="s">
        <v>612</v>
      </c>
      <c r="I29" s="514"/>
      <c r="M29" s="528"/>
    </row>
    <row r="30" spans="1:13" s="520" customFormat="1" hidden="1" x14ac:dyDescent="0.25">
      <c r="A30" s="532" t="s">
        <v>551</v>
      </c>
      <c r="B30" s="532"/>
      <c r="C30" s="537">
        <v>0</v>
      </c>
      <c r="D30" s="534"/>
      <c r="E30" s="534"/>
      <c r="F30" s="534"/>
      <c r="G30" s="534"/>
      <c r="H30" s="534"/>
      <c r="I30" s="514"/>
      <c r="M30" s="529"/>
    </row>
    <row r="31" spans="1:13" s="520" customFormat="1" x14ac:dyDescent="0.25">
      <c r="A31" s="532" t="s">
        <v>358</v>
      </c>
      <c r="B31" s="532"/>
      <c r="C31" s="538">
        <v>1026000</v>
      </c>
      <c r="D31" s="534"/>
      <c r="E31" s="534">
        <v>48783</v>
      </c>
      <c r="F31" s="534"/>
      <c r="G31" s="534"/>
      <c r="H31" s="534"/>
      <c r="I31" s="514"/>
      <c r="M31" s="529"/>
    </row>
    <row r="32" spans="1:13" s="520" customFormat="1" x14ac:dyDescent="0.25">
      <c r="A32" s="532" t="s">
        <v>475</v>
      </c>
      <c r="B32" s="532"/>
      <c r="C32" s="538">
        <v>750000</v>
      </c>
      <c r="D32" s="534"/>
      <c r="E32" s="534">
        <v>0</v>
      </c>
      <c r="F32" s="534"/>
      <c r="G32" s="534"/>
      <c r="H32" s="534"/>
      <c r="I32" s="514"/>
      <c r="M32" s="529"/>
    </row>
    <row r="33" spans="1:13" s="520" customFormat="1" x14ac:dyDescent="0.25">
      <c r="C33" s="521"/>
      <c r="D33" s="514"/>
      <c r="E33" s="514"/>
      <c r="F33" s="514"/>
      <c r="G33" s="514"/>
      <c r="H33" s="514"/>
      <c r="I33" s="514"/>
      <c r="M33" s="529"/>
    </row>
    <row r="34" spans="1:13" x14ac:dyDescent="0.25">
      <c r="A34" s="515" t="s">
        <v>40</v>
      </c>
      <c r="B34" s="516"/>
      <c r="C34" s="535">
        <f>SUM(C17:C32)</f>
        <v>5739824</v>
      </c>
      <c r="D34" s="519">
        <f>SUM(D17:D29)</f>
        <v>3450930.0016700001</v>
      </c>
      <c r="E34" s="535">
        <f>SUM(E17:E32)</f>
        <v>3338474</v>
      </c>
      <c r="F34" s="519"/>
      <c r="G34" s="519"/>
      <c r="H34" s="519"/>
      <c r="I34" s="519"/>
    </row>
    <row r="36" spans="1:13" ht="12.6" thickBot="1" x14ac:dyDescent="0.3">
      <c r="A36" s="515" t="s">
        <v>41</v>
      </c>
      <c r="B36" s="516"/>
      <c r="C36" s="517">
        <f>C14-C34</f>
        <v>-2124639.9975000001</v>
      </c>
      <c r="D36" s="522">
        <f>D14-D34</f>
        <v>-85033.001670000143</v>
      </c>
      <c r="E36" s="541">
        <f>E14-E34</f>
        <v>411328.70999999996</v>
      </c>
      <c r="F36" s="519"/>
      <c r="G36" s="519"/>
      <c r="H36" s="519"/>
      <c r="I36" s="519"/>
    </row>
    <row r="37" spans="1:13" ht="12.6" thickTop="1" x14ac:dyDescent="0.25"/>
    <row r="38" spans="1:13" hidden="1" x14ac:dyDescent="0.25">
      <c r="A38" s="523" t="s">
        <v>240</v>
      </c>
      <c r="D38" s="481">
        <v>0</v>
      </c>
    </row>
    <row r="39" spans="1:13" hidden="1" x14ac:dyDescent="0.25">
      <c r="K39" s="523"/>
    </row>
    <row r="40" spans="1:13" hidden="1" x14ac:dyDescent="0.25">
      <c r="D40" s="481">
        <v>0</v>
      </c>
      <c r="K40" s="523"/>
    </row>
    <row r="41" spans="1:13" hidden="1" x14ac:dyDescent="0.25">
      <c r="D41" s="481">
        <v>0</v>
      </c>
      <c r="K41" s="523"/>
    </row>
    <row r="42" spans="1:13" hidden="1" x14ac:dyDescent="0.25">
      <c r="D42" s="481">
        <v>0</v>
      </c>
    </row>
    <row r="43" spans="1:13" x14ac:dyDescent="0.25">
      <c r="A43" s="539" t="s">
        <v>476</v>
      </c>
      <c r="B43" s="516"/>
      <c r="C43" s="540">
        <f>1947889.22+1170191.3+130707.96+102012.81</f>
        <v>3350801.29</v>
      </c>
    </row>
    <row r="44" spans="1:13" x14ac:dyDescent="0.25">
      <c r="A44" s="515"/>
      <c r="B44" s="516"/>
      <c r="C44" s="524"/>
    </row>
    <row r="45" spans="1:13" ht="12.6" thickBot="1" x14ac:dyDescent="0.3">
      <c r="A45" s="515" t="s">
        <v>536</v>
      </c>
      <c r="B45" s="516"/>
      <c r="C45" s="541">
        <f>C36+C43</f>
        <v>1226161.2925</v>
      </c>
    </row>
    <row r="46" spans="1:13" ht="12.6" thickTop="1" x14ac:dyDescent="0.25"/>
    <row r="48" spans="1:13" x14ac:dyDescent="0.25">
      <c r="C48" s="513"/>
    </row>
    <row r="50" spans="3:3" x14ac:dyDescent="0.25">
      <c r="C50" s="513"/>
    </row>
    <row r="53" spans="3:3" x14ac:dyDescent="0.25">
      <c r="C53" s="513"/>
    </row>
  </sheetData>
  <mergeCells count="3">
    <mergeCell ref="A1:H1"/>
    <mergeCell ref="A2:H2"/>
    <mergeCell ref="A3:H3"/>
  </mergeCells>
  <pageMargins left="0.45" right="0" top="0.75" bottom="0.75" header="0.3" footer="0.3"/>
  <pageSetup scale="95" orientation="portrait" r:id="rId1"/>
  <headerFooter>
    <oddFooter>&amp;R&amp;P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3AB5D-E4DB-4C81-849C-03DED2527B13}">
  <dimension ref="A1:W123"/>
  <sheetViews>
    <sheetView topLeftCell="E1" workbookViewId="0">
      <selection activeCell="P11" sqref="P11:P12"/>
    </sheetView>
  </sheetViews>
  <sheetFormatPr defaultColWidth="8.6640625" defaultRowHeight="11.4" x14ac:dyDescent="0.2"/>
  <cols>
    <col min="1" max="1" width="3.33203125" style="362" customWidth="1"/>
    <col min="2" max="2" width="7.5546875" style="333" customWidth="1"/>
    <col min="3" max="3" width="34.33203125" style="333" bestFit="1" customWidth="1"/>
    <col min="4" max="4" width="12.5546875" style="2" customWidth="1"/>
    <col min="5" max="5" width="12" style="2" customWidth="1"/>
    <col min="6" max="8" width="12.5546875" style="2" customWidth="1"/>
    <col min="9" max="9" width="12" style="2" customWidth="1"/>
    <col min="10" max="15" width="12.5546875" style="2" customWidth="1"/>
    <col min="16" max="16" width="13.5546875" style="335" bestFit="1" customWidth="1"/>
    <col min="17" max="17" width="35.6640625" style="2" hidden="1" customWidth="1"/>
    <col min="18" max="18" width="12.44140625" style="2" hidden="1" customWidth="1"/>
    <col min="19" max="19" width="13.5546875" style="2" hidden="1" customWidth="1"/>
    <col min="20" max="20" width="11.6640625" style="2" bestFit="1" customWidth="1"/>
    <col min="21" max="22" width="12.5546875" style="2" hidden="1" customWidth="1"/>
    <col min="23" max="23" width="29.5546875" style="2" hidden="1" customWidth="1"/>
    <col min="24" max="24" width="0" style="2" hidden="1" customWidth="1"/>
    <col min="25" max="16384" width="8.6640625" style="2"/>
  </cols>
  <sheetData>
    <row r="1" spans="1:23" ht="16.2" thickBot="1" x14ac:dyDescent="0.35">
      <c r="A1" s="328" t="s">
        <v>440</v>
      </c>
      <c r="B1" s="328"/>
      <c r="C1" s="328"/>
      <c r="E1" s="328"/>
      <c r="F1" s="328"/>
      <c r="G1" s="328"/>
      <c r="H1" s="328"/>
      <c r="I1" s="328"/>
      <c r="J1" s="328"/>
      <c r="K1" s="328"/>
      <c r="L1" s="328"/>
      <c r="M1" s="328"/>
      <c r="N1" s="328"/>
      <c r="O1" s="328"/>
      <c r="P1" s="329"/>
      <c r="Q1" s="330" t="s">
        <v>441</v>
      </c>
      <c r="R1" s="331"/>
      <c r="S1" s="331"/>
      <c r="T1" s="328"/>
      <c r="U1" s="332"/>
      <c r="V1" s="332"/>
    </row>
    <row r="2" spans="1:23" ht="15.6" x14ac:dyDescent="0.3">
      <c r="A2" s="328" t="s">
        <v>442</v>
      </c>
      <c r="D2" s="334" t="s">
        <v>443</v>
      </c>
      <c r="R2" s="336" t="s">
        <v>444</v>
      </c>
      <c r="S2" s="337">
        <f>$P$121</f>
        <v>1226161.29</v>
      </c>
    </row>
    <row r="3" spans="1:23" s="338" customFormat="1" ht="24" x14ac:dyDescent="0.25">
      <c r="B3" s="339" t="s">
        <v>253</v>
      </c>
      <c r="C3" s="339" t="s">
        <v>254</v>
      </c>
      <c r="D3" s="340" t="s">
        <v>45</v>
      </c>
      <c r="E3" s="340" t="s">
        <v>46</v>
      </c>
      <c r="F3" s="340" t="s">
        <v>47</v>
      </c>
      <c r="G3" s="340" t="s">
        <v>48</v>
      </c>
      <c r="H3" s="340" t="s">
        <v>49</v>
      </c>
      <c r="I3" s="340" t="s">
        <v>50</v>
      </c>
      <c r="J3" s="340" t="s">
        <v>51</v>
      </c>
      <c r="K3" s="340" t="s">
        <v>52</v>
      </c>
      <c r="L3" s="340" t="s">
        <v>53</v>
      </c>
      <c r="M3" s="340" t="s">
        <v>54</v>
      </c>
      <c r="N3" s="340" t="s">
        <v>55</v>
      </c>
      <c r="O3" s="340" t="s">
        <v>56</v>
      </c>
      <c r="P3" s="249" t="s">
        <v>445</v>
      </c>
      <c r="Q3" s="340" t="s">
        <v>446</v>
      </c>
      <c r="R3" s="340" t="s">
        <v>256</v>
      </c>
      <c r="S3" s="340" t="s">
        <v>257</v>
      </c>
      <c r="T3" s="340" t="s">
        <v>447</v>
      </c>
      <c r="U3" s="341" t="s">
        <v>448</v>
      </c>
      <c r="V3" s="341" t="s">
        <v>449</v>
      </c>
      <c r="W3" s="342"/>
    </row>
    <row r="4" spans="1:23" x14ac:dyDescent="0.2">
      <c r="A4" s="343"/>
      <c r="B4" s="344">
        <v>4010</v>
      </c>
      <c r="C4" s="344" t="s">
        <v>261</v>
      </c>
      <c r="D4" s="345">
        <f>IFERROR(VLOOKUP($B4,'[4]6-Hm Budget Total-FY21 (P&amp;L)'!$B$5:$O$37,3,FALSE),0)</f>
        <v>11525</v>
      </c>
      <c r="E4" s="345">
        <f>IFERROR(VLOOKUP($B4,'[4]6-Hm Budget Total-FY21 (P&amp;L)'!$B$5:$O$37,4,FALSE),0)</f>
        <v>13590</v>
      </c>
      <c r="F4" s="345">
        <f>IFERROR(VLOOKUP($B4,'[4]6-Hm Budget Total-FY21 (P&amp;L)'!$B$5:$O$37,5,FALSE),0)</f>
        <v>17650</v>
      </c>
      <c r="G4" s="345">
        <f>IFERROR(VLOOKUP($B4,'[4]6-Hm Budget Total-FY21 (P&amp;L)'!$B$5:$O$37,6,FALSE),0)</f>
        <v>9850</v>
      </c>
      <c r="H4" s="345">
        <f>IFERROR(VLOOKUP($B4,'[4]6-Hm Budget Total-FY21 (P&amp;L)'!$B$5:$O$37,7,FALSE),0)</f>
        <v>15815</v>
      </c>
      <c r="I4" s="345">
        <f>IFERROR(VLOOKUP($B4,'[4]6-Hm Budget Total-FY21 (P&amp;L)'!$B$5:$O$37,8,FALSE),0)</f>
        <v>93400</v>
      </c>
      <c r="J4" s="345">
        <f>IFERROR(VLOOKUP($B4,'[4]6-Hm Budget Total-FY21 (P&amp;L)'!$B$5:$O$37,9,FALSE),0)</f>
        <v>18825</v>
      </c>
      <c r="K4" s="345">
        <f>IFERROR(VLOOKUP($B4,'[4]6-Hm Budget Total-FY21 (P&amp;L)'!$B$5:$O$37,10,FALSE),0)</f>
        <v>19575</v>
      </c>
      <c r="L4" s="345">
        <f>IFERROR(VLOOKUP($B4,'[4]6-Hm Budget Total-FY21 (P&amp;L)'!$B$5:$O$37,11,FALSE),0)</f>
        <v>6325</v>
      </c>
      <c r="M4" s="345">
        <f>IFERROR(VLOOKUP($B4,'[4]6-Hm Budget Total-FY21 (P&amp;L)'!$B$5:$O$37,12,FALSE),0)</f>
        <v>13500</v>
      </c>
      <c r="N4" s="345">
        <f>IFERROR(VLOOKUP($B4,'[4]6-Hm Budget Total-FY21 (P&amp;L)'!$B$5:$O$37,13,FALSE),0)</f>
        <v>10515</v>
      </c>
      <c r="O4" s="345">
        <f>IFERROR(VLOOKUP($B4,'[4]6-Hm Budget Total-FY21 (P&amp;L)'!$B$5:$O$37,14,FALSE),0)</f>
        <v>-11357</v>
      </c>
      <c r="P4" s="346">
        <f>SUM(D4:O4)-1500</f>
        <v>217713</v>
      </c>
      <c r="Q4" s="347"/>
      <c r="R4" s="99"/>
      <c r="S4" s="348">
        <v>243570</v>
      </c>
      <c r="T4" s="349">
        <v>225000</v>
      </c>
      <c r="U4" s="350">
        <f>'[4]6-Hm Budget Total-FY21 (P&amp;L)'!T5</f>
        <v>219173.04</v>
      </c>
      <c r="V4" s="350">
        <f>'[4]6-Hm FY21 Budget Variance (P&amp;L)'!$G$4</f>
        <v>228237.04</v>
      </c>
    </row>
    <row r="5" spans="1:23" x14ac:dyDescent="0.2">
      <c r="A5" s="343"/>
      <c r="B5" s="344">
        <v>4020</v>
      </c>
      <c r="C5" s="344" t="s">
        <v>263</v>
      </c>
      <c r="D5" s="345">
        <f>IFERROR(VLOOKUP($B5,'[4]6-Hm Budget Total-FY21 (P&amp;L)'!$B$5:$O$37,3,FALSE),0)</f>
        <v>-22250</v>
      </c>
      <c r="E5" s="345">
        <f>IFERROR(VLOOKUP($B5,'[4]6-Hm Budget Total-FY21 (P&amp;L)'!$B$5:$O$37,4,FALSE),0)</f>
        <v>7750</v>
      </c>
      <c r="F5" s="345">
        <f>IFERROR(VLOOKUP($B5,'[4]6-Hm Budget Total-FY21 (P&amp;L)'!$B$5:$O$37,5,FALSE),0)</f>
        <v>12750</v>
      </c>
      <c r="G5" s="345">
        <f>IFERROR(VLOOKUP($B5,'[4]6-Hm Budget Total-FY21 (P&amp;L)'!$B$5:$O$37,6,FALSE),0)</f>
        <v>7750</v>
      </c>
      <c r="H5" s="345">
        <f>IFERROR(VLOOKUP($B5,'[4]6-Hm Budget Total-FY21 (P&amp;L)'!$B$5:$O$37,7,FALSE),0)</f>
        <v>27750</v>
      </c>
      <c r="I5" s="345">
        <f>IFERROR(VLOOKUP($B5,'[4]6-Hm Budget Total-FY21 (P&amp;L)'!$B$5:$O$37,8,FALSE),0)</f>
        <v>29550</v>
      </c>
      <c r="J5" s="345">
        <f>IFERROR(VLOOKUP($B5,'[4]6-Hm Budget Total-FY21 (P&amp;L)'!$B$5:$O$37,9,FALSE),0)</f>
        <v>20250</v>
      </c>
      <c r="K5" s="345">
        <f>IFERROR(VLOOKUP($B5,'[4]6-Hm Budget Total-FY21 (P&amp;L)'!$B$5:$O$37,10,FALSE),0)</f>
        <v>7750</v>
      </c>
      <c r="L5" s="345">
        <f>IFERROR(VLOOKUP($B5,'[4]6-Hm Budget Total-FY21 (P&amp;L)'!$B$5:$O$37,11,FALSE),0)</f>
        <v>27750</v>
      </c>
      <c r="M5" s="345">
        <f>IFERROR(VLOOKUP($B5,'[4]6-Hm Budget Total-FY21 (P&amp;L)'!$B$5:$O$37,12,FALSE),0)</f>
        <v>16750</v>
      </c>
      <c r="N5" s="345">
        <f>IFERROR(VLOOKUP($B5,'[4]6-Hm Budget Total-FY21 (P&amp;L)'!$B$5:$O$37,13,FALSE),0)</f>
        <v>17750</v>
      </c>
      <c r="O5" s="345">
        <f>IFERROR(VLOOKUP($B5,'[4]6-Hm Budget Total-FY21 (P&amp;L)'!$B$5:$O$37,14,FALSE),0)</f>
        <v>88995</v>
      </c>
      <c r="P5" s="346">
        <f>SUM(D5:O5)-22500-1500</f>
        <v>218545</v>
      </c>
      <c r="Q5" s="347"/>
      <c r="R5" s="99"/>
      <c r="S5" s="348">
        <v>275050</v>
      </c>
      <c r="T5" s="349">
        <v>278000</v>
      </c>
      <c r="U5" s="351">
        <f>'[4]6-Hm Budget Total-FY21 (P&amp;L)'!T6</f>
        <v>53937.919999999998</v>
      </c>
      <c r="V5" s="351">
        <f>U5+45700</f>
        <v>99637.92</v>
      </c>
    </row>
    <row r="6" spans="1:23" ht="11.7" customHeight="1" x14ac:dyDescent="0.2">
      <c r="A6" s="343"/>
      <c r="B6" s="344">
        <v>4030</v>
      </c>
      <c r="C6" s="344" t="s">
        <v>265</v>
      </c>
      <c r="D6" s="345">
        <f>IFERROR(VLOOKUP($B6,'[4]6-Hm Budget Total-FY21 (P&amp;L)'!$B$5:$O$37,3,FALSE),0)</f>
        <v>3200</v>
      </c>
      <c r="E6" s="345">
        <f>IFERROR(VLOOKUP($B6,'[4]6-Hm Budget Total-FY21 (P&amp;L)'!$B$5:$O$37,4,FALSE),0)</f>
        <v>700</v>
      </c>
      <c r="F6" s="345">
        <f>IFERROR(VLOOKUP($B6,'[4]6-Hm Budget Total-FY21 (P&amp;L)'!$B$5:$O$37,5,FALSE),0)</f>
        <v>2200</v>
      </c>
      <c r="G6" s="345">
        <f>IFERROR(VLOOKUP($B6,'[4]6-Hm Budget Total-FY21 (P&amp;L)'!$B$5:$O$37,6,FALSE),0)</f>
        <v>700</v>
      </c>
      <c r="H6" s="345">
        <f>IFERROR(VLOOKUP($B6,'[4]6-Hm Budget Total-FY21 (P&amp;L)'!$B$5:$O$37,7,FALSE),0)</f>
        <v>7700</v>
      </c>
      <c r="I6" s="345">
        <f>IFERROR(VLOOKUP($B6,'[4]6-Hm Budget Total-FY21 (P&amp;L)'!$B$5:$O$37,8,FALSE),0)</f>
        <v>3200</v>
      </c>
      <c r="J6" s="345">
        <f>IFERROR(VLOOKUP($B6,'[4]6-Hm Budget Total-FY21 (P&amp;L)'!$B$5:$O$37,9,FALSE),0)</f>
        <v>700</v>
      </c>
      <c r="K6" s="345">
        <f>IFERROR(VLOOKUP($B6,'[4]6-Hm Budget Total-FY21 (P&amp;L)'!$B$5:$O$37,10,FALSE),0)</f>
        <v>200</v>
      </c>
      <c r="L6" s="345">
        <f>IFERROR(VLOOKUP($B6,'[4]6-Hm Budget Total-FY21 (P&amp;L)'!$B$5:$O$37,11,FALSE),0)</f>
        <v>4700</v>
      </c>
      <c r="M6" s="345">
        <f>IFERROR(VLOOKUP($B6,'[4]6-Hm Budget Total-FY21 (P&amp;L)'!$B$5:$O$37,12,FALSE),0)</f>
        <v>5450</v>
      </c>
      <c r="N6" s="345">
        <f>IFERROR(VLOOKUP($B6,'[4]6-Hm Budget Total-FY21 (P&amp;L)'!$B$5:$O$37,13,FALSE),0)</f>
        <v>7700</v>
      </c>
      <c r="O6" s="345">
        <f>IFERROR(VLOOKUP($B6,'[4]6-Hm Budget Total-FY21 (P&amp;L)'!$B$5:$O$37,14,FALSE),0)</f>
        <v>-3015</v>
      </c>
      <c r="P6" s="346">
        <f>SUM(D6:O6)-3343.5</f>
        <v>30091.5</v>
      </c>
      <c r="Q6" s="347"/>
      <c r="R6" s="99"/>
      <c r="S6" s="348">
        <v>37150</v>
      </c>
      <c r="T6" s="349">
        <v>24000</v>
      </c>
      <c r="U6" s="351">
        <f>'[4]6-Hm Budget Total-FY21 (P&amp;L)'!T7</f>
        <v>18559.5</v>
      </c>
      <c r="V6" s="351">
        <f>'[4]6-Hm FY21 Budget Variance (P&amp;L)'!G7</f>
        <v>19059.5</v>
      </c>
    </row>
    <row r="7" spans="1:23" ht="11.7" customHeight="1" x14ac:dyDescent="0.2">
      <c r="A7" s="343"/>
      <c r="B7" s="344">
        <v>4035</v>
      </c>
      <c r="C7" s="344" t="s">
        <v>267</v>
      </c>
      <c r="D7" s="345">
        <f>IFERROR(VLOOKUP($B7,'[4]6-Hm Budget Total-FY21 (P&amp;L)'!$B$5:$O$37,3,FALSE),0)</f>
        <v>0</v>
      </c>
      <c r="E7" s="345">
        <f>IFERROR(VLOOKUP($B7,'[4]6-Hm Budget Total-FY21 (P&amp;L)'!$B$5:$O$37,4,FALSE),0)</f>
        <v>0</v>
      </c>
      <c r="F7" s="345">
        <f>IFERROR(VLOOKUP($B7,'[4]6-Hm Budget Total-FY21 (P&amp;L)'!$B$5:$O$37,5,FALSE),0)</f>
        <v>0</v>
      </c>
      <c r="G7" s="345">
        <f>IFERROR(VLOOKUP($B7,'[4]6-Hm Budget Total-FY21 (P&amp;L)'!$B$5:$O$37,6,FALSE),0)</f>
        <v>0</v>
      </c>
      <c r="H7" s="345">
        <f>IFERROR(VLOOKUP($B7,'[4]6-Hm Budget Total-FY21 (P&amp;L)'!$B$5:$O$37,7,FALSE),0)</f>
        <v>0</v>
      </c>
      <c r="I7" s="345">
        <f>IFERROR(VLOOKUP($B7,'[4]6-Hm Budget Total-FY21 (P&amp;L)'!$B$5:$O$37,8,FALSE),0)</f>
        <v>0</v>
      </c>
      <c r="J7" s="345">
        <f>IFERROR(VLOOKUP($B7,'[4]6-Hm Budget Total-FY21 (P&amp;L)'!$B$5:$O$37,9,FALSE),0)</f>
        <v>0</v>
      </c>
      <c r="K7" s="345">
        <f>IFERROR(VLOOKUP($B7,'[4]6-Hm Budget Total-FY21 (P&amp;L)'!$B$5:$O$37,10,FALSE),0)</f>
        <v>0</v>
      </c>
      <c r="L7" s="345">
        <f>IFERROR(VLOOKUP($B7,'[4]6-Hm Budget Total-FY21 (P&amp;L)'!$B$5:$O$37,11,FALSE),0)</f>
        <v>0</v>
      </c>
      <c r="M7" s="345">
        <f>IFERROR(VLOOKUP($B7,'[4]6-Hm Budget Total-FY21 (P&amp;L)'!$B$5:$O$37,12,FALSE),0)</f>
        <v>0</v>
      </c>
      <c r="N7" s="345">
        <f>IFERROR(VLOOKUP($B7,'[4]6-Hm Budget Total-FY21 (P&amp;L)'!$B$5:$O$37,13,FALSE),0)</f>
        <v>0</v>
      </c>
      <c r="O7" s="345">
        <f>IFERROR(VLOOKUP($B7,'[4]6-Hm Budget Total-FY21 (P&amp;L)'!$B$5:$O$37,14,FALSE),0)</f>
        <v>0</v>
      </c>
      <c r="P7" s="346">
        <f>SUM(D7:O7)</f>
        <v>0</v>
      </c>
      <c r="Q7" s="347"/>
      <c r="R7" s="99"/>
      <c r="S7" s="348">
        <v>15000</v>
      </c>
      <c r="T7" s="349">
        <v>15000</v>
      </c>
      <c r="U7" s="351">
        <f>'[4]6-Hm Budget Total-FY21 (P&amp;L)'!T8</f>
        <v>12589</v>
      </c>
      <c r="V7" s="351">
        <f>'[4]6-Hm FY21 Budget Variance (P&amp;L)'!G8</f>
        <v>15089</v>
      </c>
    </row>
    <row r="8" spans="1:23" x14ac:dyDescent="0.2">
      <c r="A8" s="343"/>
      <c r="B8" s="344">
        <v>4050</v>
      </c>
      <c r="C8" s="344" t="s">
        <v>268</v>
      </c>
      <c r="D8" s="345">
        <f>IFERROR(VLOOKUP($B8,'[4]6-Hm Budget Total-FY21 (P&amp;L)'!$B$5:$O$37,3,FALSE),0)</f>
        <v>0</v>
      </c>
      <c r="E8" s="345">
        <f>IFERROR(VLOOKUP($B8,'[4]6-Hm Budget Total-FY21 (P&amp;L)'!$B$5:$O$37,4,FALSE),0)</f>
        <v>0</v>
      </c>
      <c r="F8" s="345">
        <f>IFERROR(VLOOKUP($B8,'[4]6-Hm Budget Total-FY21 (P&amp;L)'!$B$5:$O$37,5,FALSE),0)</f>
        <v>0</v>
      </c>
      <c r="G8" s="345">
        <f>IFERROR(VLOOKUP($B8,'[4]6-Hm Budget Total-FY21 (P&amp;L)'!$B$5:$O$37,6,FALSE),0)</f>
        <v>0</v>
      </c>
      <c r="H8" s="345">
        <f>IFERROR(VLOOKUP($B8,'[4]6-Hm Budget Total-FY21 (P&amp;L)'!$B$5:$O$37,7,FALSE),0)</f>
        <v>0</v>
      </c>
      <c r="I8" s="345">
        <f>IFERROR(VLOOKUP($B8,'[4]6-Hm Budget Total-FY21 (P&amp;L)'!$B$5:$O$37,8,FALSE),0)</f>
        <v>0</v>
      </c>
      <c r="J8" s="345">
        <f>IFERROR(VLOOKUP($B8,'[4]6-Hm Budget Total-FY21 (P&amp;L)'!$B$5:$O$37,9,FALSE),0)</f>
        <v>0</v>
      </c>
      <c r="K8" s="345">
        <f>IFERROR(VLOOKUP($B8,'[4]6-Hm Budget Total-FY21 (P&amp;L)'!$B$5:$O$37,10,FALSE),0)</f>
        <v>0</v>
      </c>
      <c r="L8" s="345">
        <f>IFERROR(VLOOKUP($B8,'[4]6-Hm Budget Total-FY21 (P&amp;L)'!$B$5:$O$37,11,FALSE),0)</f>
        <v>0</v>
      </c>
      <c r="M8" s="345">
        <f>IFERROR(VLOOKUP($B8,'[4]6-Hm Budget Total-FY21 (P&amp;L)'!$B$5:$O$37,12,FALSE),0)</f>
        <v>0</v>
      </c>
      <c r="N8" s="345">
        <f>IFERROR(VLOOKUP($B8,'[4]6-Hm Budget Total-FY21 (P&amp;L)'!$B$5:$O$37,13,FALSE),0)</f>
        <v>0</v>
      </c>
      <c r="O8" s="345">
        <f>IFERROR(VLOOKUP($B8,'[4]6-Hm Budget Total-FY21 (P&amp;L)'!$B$5:$O$37,14,FALSE),0)</f>
        <v>85000</v>
      </c>
      <c r="P8" s="346">
        <f>SUM(D8:O8)</f>
        <v>85000</v>
      </c>
      <c r="Q8" s="347"/>
      <c r="R8" s="99"/>
      <c r="S8" s="348">
        <v>35000</v>
      </c>
      <c r="T8" s="349">
        <f>306000+105000</f>
        <v>411000</v>
      </c>
      <c r="U8" s="351">
        <f>'[4]6-Hm Budget Total-FY21 (P&amp;L)'!T9</f>
        <v>437207.94</v>
      </c>
      <c r="V8" s="351">
        <f>'[4]6-Hm FY21 Budget Variance (P&amp;L)'!G9</f>
        <v>449407.94</v>
      </c>
    </row>
    <row r="9" spans="1:23" ht="11.7" customHeight="1" x14ac:dyDescent="0.2">
      <c r="A9" s="343"/>
      <c r="B9" s="344">
        <v>4055</v>
      </c>
      <c r="C9" s="344" t="s">
        <v>269</v>
      </c>
      <c r="D9" s="345">
        <f>IFERROR(VLOOKUP($B9,'[4]6-Hm Budget Total-FY21 (P&amp;L)'!$B$5:$O$37,3,FALSE),0)</f>
        <v>5000</v>
      </c>
      <c r="E9" s="345">
        <f>IFERROR(VLOOKUP($B9,'[4]6-Hm Budget Total-FY21 (P&amp;L)'!$B$5:$O$37,4,FALSE),0)</f>
        <v>5000</v>
      </c>
      <c r="F9" s="345">
        <f>IFERROR(VLOOKUP($B9,'[4]6-Hm Budget Total-FY21 (P&amp;L)'!$B$5:$O$37,5,FALSE),0)</f>
        <v>0</v>
      </c>
      <c r="G9" s="345">
        <f>IFERROR(VLOOKUP($B9,'[4]6-Hm Budget Total-FY21 (P&amp;L)'!$B$5:$O$37,6,FALSE),0)</f>
        <v>0</v>
      </c>
      <c r="H9" s="345">
        <f>IFERROR(VLOOKUP($B9,'[4]6-Hm Budget Total-FY21 (P&amp;L)'!$B$5:$O$37,7,FALSE),0)</f>
        <v>0</v>
      </c>
      <c r="I9" s="345">
        <f>IFERROR(VLOOKUP($B9,'[4]6-Hm Budget Total-FY21 (P&amp;L)'!$B$5:$O$37,8,FALSE),0)</f>
        <v>0</v>
      </c>
      <c r="J9" s="345">
        <f>IFERROR(VLOOKUP($B9,'[4]6-Hm Budget Total-FY21 (P&amp;L)'!$B$5:$O$37,9,FALSE),0)</f>
        <v>0</v>
      </c>
      <c r="K9" s="345">
        <f>IFERROR(VLOOKUP($B9,'[4]6-Hm Budget Total-FY21 (P&amp;L)'!$B$5:$O$37,10,FALSE),0)</f>
        <v>0</v>
      </c>
      <c r="L9" s="345">
        <f>IFERROR(VLOOKUP($B9,'[4]6-Hm Budget Total-FY21 (P&amp;L)'!$B$5:$O$37,11,FALSE),0)</f>
        <v>0</v>
      </c>
      <c r="M9" s="345">
        <f>IFERROR(VLOOKUP($B9,'[4]6-Hm Budget Total-FY21 (P&amp;L)'!$B$5:$O$37,12,FALSE),0)</f>
        <v>0</v>
      </c>
      <c r="N9" s="345">
        <f>IFERROR(VLOOKUP($B9,'[4]6-Hm Budget Total-FY21 (P&amp;L)'!$B$5:$O$37,13,FALSE),0)</f>
        <v>0</v>
      </c>
      <c r="O9" s="345">
        <f>IFERROR(VLOOKUP($B9,'[4]6-Hm Budget Total-FY21 (P&amp;L)'!$B$5:$O$37,14,FALSE),0)</f>
        <v>0</v>
      </c>
      <c r="P9" s="346">
        <f t="shared" ref="P9:P32" si="0">SUM(D9:O9)</f>
        <v>10000</v>
      </c>
      <c r="Q9" s="347"/>
      <c r="R9" s="99"/>
      <c r="S9" s="348">
        <v>0</v>
      </c>
      <c r="T9" s="349">
        <f>115000-105000</f>
        <v>10000</v>
      </c>
      <c r="U9" s="351">
        <f>'[4]6-Hm Budget Total-FY21 (P&amp;L)'!T10</f>
        <v>978</v>
      </c>
      <c r="V9" s="351">
        <f>'[4]6-Hm FY21 Budget Variance (P&amp;L)'!G10</f>
        <v>978</v>
      </c>
    </row>
    <row r="10" spans="1:23" x14ac:dyDescent="0.2">
      <c r="A10" s="343"/>
      <c r="B10" s="344">
        <v>4056</v>
      </c>
      <c r="C10" s="344" t="s">
        <v>270</v>
      </c>
      <c r="D10" s="345">
        <f>IFERROR(VLOOKUP($B10,'[4]6-Hm Budget Total-FY21 (P&amp;L)'!$B$5:$O$37,3,FALSE),0)</f>
        <v>0</v>
      </c>
      <c r="E10" s="345">
        <f>IFERROR(VLOOKUP($B10,'[4]6-Hm Budget Total-FY21 (P&amp;L)'!$B$5:$O$37,4,FALSE),0)</f>
        <v>0</v>
      </c>
      <c r="F10" s="345">
        <f>IFERROR(VLOOKUP($B10,'[4]6-Hm Budget Total-FY21 (P&amp;L)'!$B$5:$O$37,5,FALSE),0)</f>
        <v>0</v>
      </c>
      <c r="G10" s="345">
        <f>IFERROR(VLOOKUP($B10,'[4]6-Hm Budget Total-FY21 (P&amp;L)'!$B$5:$O$37,6,FALSE),0)</f>
        <v>0</v>
      </c>
      <c r="H10" s="345">
        <f>IFERROR(VLOOKUP($B10,'[4]6-Hm Budget Total-FY21 (P&amp;L)'!$B$5:$O$37,7,FALSE),0)</f>
        <v>0</v>
      </c>
      <c r="I10" s="345">
        <f>IFERROR(VLOOKUP($B10,'[4]6-Hm Budget Total-FY21 (P&amp;L)'!$B$5:$O$37,8,FALSE),0)</f>
        <v>0</v>
      </c>
      <c r="J10" s="345">
        <f>IFERROR(VLOOKUP($B10,'[4]6-Hm Budget Total-FY21 (P&amp;L)'!$B$5:$O$37,9,FALSE),0)</f>
        <v>0</v>
      </c>
      <c r="K10" s="345">
        <f>IFERROR(VLOOKUP($B10,'[4]6-Hm Budget Total-FY21 (P&amp;L)'!$B$5:$O$37,10,FALSE),0)</f>
        <v>0</v>
      </c>
      <c r="L10" s="345">
        <f>IFERROR(VLOOKUP($B10,'[4]6-Hm Budget Total-FY21 (P&amp;L)'!$B$5:$O$37,11,FALSE),0)</f>
        <v>0</v>
      </c>
      <c r="M10" s="345">
        <f>IFERROR(VLOOKUP($B10,'[4]6-Hm Budget Total-FY21 (P&amp;L)'!$B$5:$O$37,12,FALSE),0)</f>
        <v>0</v>
      </c>
      <c r="N10" s="345">
        <f>IFERROR(VLOOKUP($B10,'[4]6-Hm Budget Total-FY21 (P&amp;L)'!$B$5:$O$37,13,FALSE),0)</f>
        <v>0</v>
      </c>
      <c r="O10" s="345">
        <f>IFERROR(VLOOKUP($B10,'[4]6-Hm Budget Total-FY21 (P&amp;L)'!$B$5:$O$37,14,FALSE),0)</f>
        <v>0</v>
      </c>
      <c r="P10" s="346">
        <f t="shared" si="0"/>
        <v>0</v>
      </c>
      <c r="Q10" s="347"/>
      <c r="R10" s="99"/>
      <c r="S10" s="348">
        <v>10000</v>
      </c>
      <c r="T10" s="349">
        <v>-500</v>
      </c>
      <c r="U10" s="351">
        <f>'[4]6-Hm Budget Total-FY21 (P&amp;L)'!T11</f>
        <v>0</v>
      </c>
      <c r="V10" s="351">
        <f>'[4]6-Hm FY21 Budget Variance (P&amp;L)'!G11</f>
        <v>-1000</v>
      </c>
    </row>
    <row r="11" spans="1:23" ht="11.7" customHeight="1" x14ac:dyDescent="0.2">
      <c r="A11" s="343"/>
      <c r="B11" s="344">
        <v>4080</v>
      </c>
      <c r="C11" s="344" t="s">
        <v>271</v>
      </c>
      <c r="D11" s="345">
        <f>IFERROR(VLOOKUP($B11,'[4]6-Hm Budget Total-FY21 (P&amp;L)'!$B$5:$O$37,3,FALSE),0)</f>
        <v>0</v>
      </c>
      <c r="E11" s="345">
        <f>IFERROR(VLOOKUP($B11,'[4]6-Hm Budget Total-FY21 (P&amp;L)'!$B$5:$O$37,4,FALSE),0)</f>
        <v>0</v>
      </c>
      <c r="F11" s="345">
        <f>IFERROR(VLOOKUP($B11,'[4]6-Hm Budget Total-FY21 (P&amp;L)'!$B$5:$O$37,5,FALSE),0)</f>
        <v>0</v>
      </c>
      <c r="G11" s="345">
        <f>IFERROR(VLOOKUP($B11,'[4]6-Hm Budget Total-FY21 (P&amp;L)'!$B$5:$O$37,6,FALSE),0)</f>
        <v>0</v>
      </c>
      <c r="H11" s="345">
        <f>IFERROR(VLOOKUP($B11,'[4]6-Hm Budget Total-FY21 (P&amp;L)'!$B$5:$O$37,7,FALSE),0)</f>
        <v>0</v>
      </c>
      <c r="I11" s="345">
        <f>IFERROR(VLOOKUP($B11,'[4]6-Hm Budget Total-FY21 (P&amp;L)'!$B$5:$O$37,8,FALSE),0)</f>
        <v>5000</v>
      </c>
      <c r="J11" s="345">
        <f>IFERROR(VLOOKUP($B11,'[4]6-Hm Budget Total-FY21 (P&amp;L)'!$B$5:$O$37,9,FALSE),0)</f>
        <v>0</v>
      </c>
      <c r="K11" s="345">
        <f>IFERROR(VLOOKUP($B11,'[4]6-Hm Budget Total-FY21 (P&amp;L)'!$B$5:$O$37,10,FALSE),0)</f>
        <v>0</v>
      </c>
      <c r="L11" s="345">
        <f>IFERROR(VLOOKUP($B11,'[4]6-Hm Budget Total-FY21 (P&amp;L)'!$B$5:$O$37,11,FALSE),0)</f>
        <v>0</v>
      </c>
      <c r="M11" s="345">
        <f>IFERROR(VLOOKUP($B11,'[4]6-Hm Budget Total-FY21 (P&amp;L)'!$B$5:$O$37,12,FALSE),0)</f>
        <v>40000</v>
      </c>
      <c r="N11" s="352" t="s">
        <v>450</v>
      </c>
      <c r="O11" s="345">
        <f>IFERROR(VLOOKUP($B11,'[4]6-Hm Budget Total-FY21 (P&amp;L)'!$B$5:$O$37,14,FALSE),0)</f>
        <v>5000</v>
      </c>
      <c r="P11" s="346">
        <f t="shared" si="0"/>
        <v>50000</v>
      </c>
      <c r="Q11" s="347" t="s">
        <v>451</v>
      </c>
      <c r="R11" s="99"/>
      <c r="S11" s="348">
        <v>50000</v>
      </c>
      <c r="T11" s="349">
        <v>25000</v>
      </c>
      <c r="U11" s="351">
        <f>'[4]6-Hm Budget Total-FY21 (P&amp;L)'!T12</f>
        <v>33500</v>
      </c>
      <c r="V11" s="351">
        <f>'[4]6-Hm FY21 Budget Variance (P&amp;L)'!G12</f>
        <v>33500</v>
      </c>
    </row>
    <row r="12" spans="1:23" ht="11.7" customHeight="1" x14ac:dyDescent="0.2">
      <c r="A12" s="343"/>
      <c r="B12" s="344">
        <v>4090</v>
      </c>
      <c r="C12" s="344" t="s">
        <v>272</v>
      </c>
      <c r="D12" s="345">
        <f>IFERROR(VLOOKUP($B12,'[4]6-Hm Budget Total-FY21 (P&amp;L)'!$B$5:$O$37,3,FALSE),0)</f>
        <v>0</v>
      </c>
      <c r="E12" s="345">
        <f>IFERROR(VLOOKUP($B12,'[4]6-Hm Budget Total-FY21 (P&amp;L)'!$B$5:$O$37,4,FALSE),0)</f>
        <v>5000</v>
      </c>
      <c r="F12" s="345">
        <f>IFERROR(VLOOKUP($B12,'[4]6-Hm Budget Total-FY21 (P&amp;L)'!$B$5:$O$37,5,FALSE),0)</f>
        <v>0</v>
      </c>
      <c r="G12" s="345">
        <f>IFERROR(VLOOKUP($B12,'[4]6-Hm Budget Total-FY21 (P&amp;L)'!$B$5:$O$37,6,FALSE),0)</f>
        <v>87500</v>
      </c>
      <c r="H12" s="345">
        <f>IFERROR(VLOOKUP($B12,'[4]6-Hm Budget Total-FY21 (P&amp;L)'!$B$5:$O$37,7,FALSE),0)</f>
        <v>0</v>
      </c>
      <c r="I12" s="345">
        <f>IFERROR(VLOOKUP($B12,'[4]6-Hm Budget Total-FY21 (P&amp;L)'!$B$5:$O$37,8,FALSE),0)</f>
        <v>5000</v>
      </c>
      <c r="J12" s="345">
        <f>IFERROR(VLOOKUP($B12,'[4]6-Hm Budget Total-FY21 (P&amp;L)'!$B$5:$O$37,9,FALSE),0)</f>
        <v>0</v>
      </c>
      <c r="K12" s="345">
        <f>IFERROR(VLOOKUP($B12,'[4]6-Hm Budget Total-FY21 (P&amp;L)'!$B$5:$O$37,10,FALSE),0)</f>
        <v>0</v>
      </c>
      <c r="L12" s="345">
        <f>IFERROR(VLOOKUP($B12,'[4]6-Hm Budget Total-FY21 (P&amp;L)'!$B$5:$O$37,11,FALSE),0)</f>
        <v>0</v>
      </c>
      <c r="M12" s="345">
        <f>IFERROR(VLOOKUP($B12,'[4]6-Hm Budget Total-FY21 (P&amp;L)'!$B$5:$O$37,12,FALSE),0)</f>
        <v>0</v>
      </c>
      <c r="N12" s="345">
        <f>IFERROR(VLOOKUP($B12,'[4]6-Hm Budget Total-FY21 (P&amp;L)'!$B$5:$O$37,13,FALSE),0)</f>
        <v>0</v>
      </c>
      <c r="O12" s="345">
        <f>IFERROR(VLOOKUP($B12,'[4]6-Hm Budget Total-FY21 (P&amp;L)'!$B$5:$O$37,14,FALSE),0)</f>
        <v>0</v>
      </c>
      <c r="P12" s="346">
        <f t="shared" si="0"/>
        <v>97500</v>
      </c>
      <c r="Q12" s="347"/>
      <c r="R12" s="99"/>
      <c r="S12" s="348">
        <v>97500</v>
      </c>
      <c r="T12" s="349">
        <v>55000</v>
      </c>
      <c r="U12" s="351">
        <f>'[4]6-Hm Budget Total-FY21 (P&amp;L)'!T13</f>
        <v>20500</v>
      </c>
      <c r="V12" s="351">
        <f>'[4]6-Hm FY21 Budget Variance (P&amp;L)'!G13</f>
        <v>20500</v>
      </c>
    </row>
    <row r="13" spans="1:23" ht="11.7" customHeight="1" x14ac:dyDescent="0.2">
      <c r="A13" s="343"/>
      <c r="B13" s="344" t="s">
        <v>452</v>
      </c>
      <c r="C13" s="344" t="s">
        <v>453</v>
      </c>
      <c r="D13" s="345">
        <f>'[4]6-Hm Budget Total-FY21 (P&amp;L)'!D20</f>
        <v>2000</v>
      </c>
      <c r="E13" s="345">
        <f>'[4]6-Hm Budget Total-FY21 (P&amp;L)'!E20</f>
        <v>0</v>
      </c>
      <c r="F13" s="345">
        <f>'[4]6-Hm Budget Total-FY21 (P&amp;L)'!F20</f>
        <v>0</v>
      </c>
      <c r="G13" s="345">
        <f>'[4]6-Hm Budget Total-FY21 (P&amp;L)'!G20</f>
        <v>0</v>
      </c>
      <c r="H13" s="345">
        <f>'[4]6-Hm Budget Total-FY21 (P&amp;L)'!H20</f>
        <v>0</v>
      </c>
      <c r="I13" s="345">
        <f>'[4]6-Hm Budget Total-FY21 (P&amp;L)'!I20</f>
        <v>1000</v>
      </c>
      <c r="J13" s="345">
        <f>'[4]6-Hm Budget Total-FY21 (P&amp;L)'!J20</f>
        <v>1000</v>
      </c>
      <c r="K13" s="345">
        <f>'[4]6-Hm Budget Total-FY21 (P&amp;L)'!K20</f>
        <v>0</v>
      </c>
      <c r="L13" s="345">
        <f>'[4]6-Hm Budget Total-FY21 (P&amp;L)'!L20</f>
        <v>2000</v>
      </c>
      <c r="M13" s="345">
        <f>'[4]6-Hm Budget Total-FY21 (P&amp;L)'!M20</f>
        <v>2000</v>
      </c>
      <c r="N13" s="345">
        <f>'[4]6-Hm Budget Total-FY21 (P&amp;L)'!N20</f>
        <v>-3000</v>
      </c>
      <c r="O13" s="345">
        <f>'[4]6-Hm Budget Total-FY21 (P&amp;L)'!O20</f>
        <v>2000</v>
      </c>
      <c r="P13" s="346">
        <f t="shared" si="0"/>
        <v>7000</v>
      </c>
      <c r="Q13" s="347"/>
      <c r="R13" s="99"/>
      <c r="S13" s="348"/>
      <c r="T13" s="349">
        <v>0</v>
      </c>
      <c r="U13" s="351">
        <f>'[4]6-Hm Budget Total-FY21 (P&amp;L)'!$T$20+6000</f>
        <v>6000</v>
      </c>
      <c r="V13" s="351">
        <f>'[4]6-Hm FY21 Budget Variance (P&amp;L)'!G20+2000</f>
        <v>2000</v>
      </c>
    </row>
    <row r="14" spans="1:23" ht="11.7" customHeight="1" x14ac:dyDescent="0.2">
      <c r="A14" s="343"/>
      <c r="B14" s="344">
        <v>4410</v>
      </c>
      <c r="C14" s="344" t="s">
        <v>277</v>
      </c>
      <c r="D14" s="345">
        <f>IFERROR(VLOOKUP($B14,'[4]6-Hm Budget Total-FY21 (P&amp;L)'!$B$5:$O$37,3,FALSE),0)</f>
        <v>145833.33333333334</v>
      </c>
      <c r="E14" s="345">
        <f>IFERROR(VLOOKUP($B14,'[4]6-Hm Budget Total-FY21 (P&amp;L)'!$B$5:$O$37,4,FALSE),0)</f>
        <v>145833.33333333334</v>
      </c>
      <c r="F14" s="345">
        <f>IFERROR(VLOOKUP($B14,'[4]6-Hm Budget Total-FY21 (P&amp;L)'!$B$5:$O$37,5,FALSE),0)</f>
        <v>145833.33333333334</v>
      </c>
      <c r="G14" s="345">
        <f>IFERROR(VLOOKUP($B14,'[4]6-Hm Budget Total-FY21 (P&amp;L)'!$B$5:$O$37,6,FALSE),0)</f>
        <v>145833.33333333334</v>
      </c>
      <c r="H14" s="345">
        <f>IFERROR(VLOOKUP($B14,'[4]6-Hm Budget Total-FY21 (P&amp;L)'!$B$5:$O$37,7,FALSE),0)</f>
        <v>145833.33333333334</v>
      </c>
      <c r="I14" s="345">
        <f>IFERROR(VLOOKUP($B14,'[4]6-Hm Budget Total-FY21 (P&amp;L)'!$B$5:$O$37,8,FALSE),0)</f>
        <v>145833.33333333334</v>
      </c>
      <c r="J14" s="345">
        <f>IFERROR(VLOOKUP($B14,'[4]6-Hm Budget Total-FY21 (P&amp;L)'!$B$5:$O$37,9,FALSE),0)</f>
        <v>145833.33333333334</v>
      </c>
      <c r="K14" s="345">
        <f>IFERROR(VLOOKUP($B14,'[4]6-Hm Budget Total-FY21 (P&amp;L)'!$B$5:$O$37,10,FALSE),0)</f>
        <v>145833.33333333334</v>
      </c>
      <c r="L14" s="345">
        <f>IFERROR(VLOOKUP($B14,'[4]6-Hm Budget Total-FY21 (P&amp;L)'!$B$5:$O$37,11,FALSE),0)</f>
        <v>187433.33333333334</v>
      </c>
      <c r="M14" s="345">
        <f>IFERROR(VLOOKUP($B14,'[4]6-Hm Budget Total-FY21 (P&amp;L)'!$B$5:$O$37,12,FALSE),0)</f>
        <v>190033.33333333334</v>
      </c>
      <c r="N14" s="345">
        <f>IFERROR(VLOOKUP($B14,'[4]6-Hm Budget Total-FY21 (P&amp;L)'!$B$5:$O$37,13,FALSE),0)</f>
        <v>195333.33333333334</v>
      </c>
      <c r="O14" s="345">
        <f>IFERROR(VLOOKUP($B14,'[4]6-Hm Budget Total-FY21 (P&amp;L)'!$B$5:$O$37,14,FALSE),0)</f>
        <v>69064.333333333343</v>
      </c>
      <c r="P14" s="346">
        <f t="shared" si="0"/>
        <v>1808530.9999999998</v>
      </c>
      <c r="Q14" s="347"/>
      <c r="R14" s="347"/>
      <c r="S14" s="349">
        <v>1892537.4999999998</v>
      </c>
      <c r="T14" s="353">
        <v>1691150</v>
      </c>
      <c r="U14" s="351">
        <f>'[4]6-Hm Budget Total-FY21 (P&amp;L)'!T21</f>
        <v>1307662.23</v>
      </c>
      <c r="V14" s="351">
        <f>'[4]6-Hm FY21 Budget Variance (P&amp;L)'!G21</f>
        <v>1489662.23</v>
      </c>
    </row>
    <row r="15" spans="1:23" ht="11.7" customHeight="1" x14ac:dyDescent="0.2">
      <c r="A15" s="343"/>
      <c r="B15" s="344" t="s">
        <v>278</v>
      </c>
      <c r="C15" s="344" t="s">
        <v>279</v>
      </c>
      <c r="D15" s="345">
        <f>'[4]6-Hm Budget Total-FY21 (P&amp;L)'!D22</f>
        <v>10</v>
      </c>
      <c r="E15" s="345">
        <f>'[4]6-Hm Budget Total-FY21 (P&amp;L)'!E22</f>
        <v>10</v>
      </c>
      <c r="F15" s="345">
        <f>'[4]6-Hm Budget Total-FY21 (P&amp;L)'!F22</f>
        <v>10</v>
      </c>
      <c r="G15" s="345">
        <f>'[4]6-Hm Budget Total-FY21 (P&amp;L)'!G22</f>
        <v>10</v>
      </c>
      <c r="H15" s="345">
        <f>'[4]6-Hm Budget Total-FY21 (P&amp;L)'!H22</f>
        <v>10</v>
      </c>
      <c r="I15" s="345">
        <f>'[4]6-Hm Budget Total-FY21 (P&amp;L)'!I22</f>
        <v>10</v>
      </c>
      <c r="J15" s="345">
        <f>'[4]6-Hm Budget Total-FY21 (P&amp;L)'!J22</f>
        <v>10</v>
      </c>
      <c r="K15" s="345">
        <f>'[4]6-Hm Budget Total-FY21 (P&amp;L)'!K22</f>
        <v>10</v>
      </c>
      <c r="L15" s="345">
        <f>'[4]6-Hm Budget Total-FY21 (P&amp;L)'!L22</f>
        <v>10</v>
      </c>
      <c r="M15" s="345">
        <f>'[4]6-Hm Budget Total-FY21 (P&amp;L)'!M22</f>
        <v>10</v>
      </c>
      <c r="N15" s="345">
        <f>'[4]6-Hm Budget Total-FY21 (P&amp;L)'!N22</f>
        <v>10</v>
      </c>
      <c r="O15" s="345">
        <f>'[4]6-Hm Budget Total-FY21 (P&amp;L)'!O22</f>
        <v>10</v>
      </c>
      <c r="P15" s="346">
        <f t="shared" si="0"/>
        <v>120</v>
      </c>
      <c r="Q15" s="347"/>
      <c r="R15" s="347"/>
      <c r="S15" s="349"/>
      <c r="T15" s="353">
        <v>0</v>
      </c>
      <c r="U15" s="351">
        <f>'[4]6-Hm Budget Total-FY21 (P&amp;L)'!T22</f>
        <v>-34.869999999999997</v>
      </c>
      <c r="V15" s="351">
        <f>'[4]6-Hm FY21 Budget Variance (P&amp;L)'!G22-1</f>
        <v>0.13000000000000256</v>
      </c>
    </row>
    <row r="16" spans="1:23" ht="11.7" customHeight="1" x14ac:dyDescent="0.2">
      <c r="A16" s="343"/>
      <c r="B16" s="344" t="s">
        <v>454</v>
      </c>
      <c r="C16" s="344" t="s">
        <v>455</v>
      </c>
      <c r="D16" s="345">
        <f>'[4]6-Hm Budget Total-FY21 (P&amp;L)'!D23</f>
        <v>12916.666666666666</v>
      </c>
      <c r="E16" s="345">
        <f>'[4]6-Hm Budget Total-FY21 (P&amp;L)'!E23</f>
        <v>12916.666666666666</v>
      </c>
      <c r="F16" s="345">
        <f>'[4]6-Hm Budget Total-FY21 (P&amp;L)'!F23</f>
        <v>12916.666666666666</v>
      </c>
      <c r="G16" s="345">
        <f>'[4]6-Hm Budget Total-FY21 (P&amp;L)'!G23</f>
        <v>12916.666666666666</v>
      </c>
      <c r="H16" s="345">
        <f>'[4]6-Hm Budget Total-FY21 (P&amp;L)'!H23</f>
        <v>12916.666666666666</v>
      </c>
      <c r="I16" s="345">
        <f>'[4]6-Hm Budget Total-FY21 (P&amp;L)'!I23</f>
        <v>12916.666666666666</v>
      </c>
      <c r="J16" s="345">
        <f>'[4]6-Hm Budget Total-FY21 (P&amp;L)'!J23</f>
        <v>12916.666666666666</v>
      </c>
      <c r="K16" s="345">
        <f>'[4]6-Hm Budget Total-FY21 (P&amp;L)'!K23</f>
        <v>12916.666666666666</v>
      </c>
      <c r="L16" s="345">
        <f>'[4]6-Hm Budget Total-FY21 (P&amp;L)'!L23</f>
        <v>17076.666666666664</v>
      </c>
      <c r="M16" s="345">
        <f>'[4]6-Hm Budget Total-FY21 (P&amp;L)'!M23</f>
        <v>17336.666666666664</v>
      </c>
      <c r="N16" s="345">
        <f>'[4]6-Hm Budget Total-FY21 (P&amp;L)'!N23</f>
        <v>17866.666666666664</v>
      </c>
      <c r="O16" s="345">
        <f>'[4]6-Hm Budget Total-FY21 (P&amp;L)'!O23</f>
        <v>17856.666666666664</v>
      </c>
      <c r="P16" s="346">
        <f t="shared" si="0"/>
        <v>173469.99999999997</v>
      </c>
      <c r="Q16" s="347"/>
      <c r="R16" s="347"/>
      <c r="S16" s="349"/>
      <c r="T16" s="353">
        <v>154250</v>
      </c>
      <c r="U16" s="351">
        <f>'[4]6-Hm Budget Total-FY21 (P&amp;L)'!T23</f>
        <v>120454.06</v>
      </c>
      <c r="V16" s="351">
        <f>'[4]6-Hm FY21 Budget Variance (P&amp;L)'!G23</f>
        <v>140454.06</v>
      </c>
    </row>
    <row r="17" spans="1:23" ht="11.7" customHeight="1" x14ac:dyDescent="0.2">
      <c r="A17" s="343"/>
      <c r="B17" s="344" t="s">
        <v>456</v>
      </c>
      <c r="C17" s="344" t="s">
        <v>457</v>
      </c>
      <c r="D17" s="345">
        <f>'[4]6-Hm Budget Total-FY21 (P&amp;L)'!D24</f>
        <v>5000</v>
      </c>
      <c r="E17" s="345">
        <f>'[4]6-Hm Budget Total-FY21 (P&amp;L)'!E24</f>
        <v>5000</v>
      </c>
      <c r="F17" s="345">
        <f>'[4]6-Hm Budget Total-FY21 (P&amp;L)'!F24</f>
        <v>5000</v>
      </c>
      <c r="G17" s="345">
        <f>'[4]6-Hm Budget Total-FY21 (P&amp;L)'!G24</f>
        <v>5000</v>
      </c>
      <c r="H17" s="345">
        <f>'[4]6-Hm Budget Total-FY21 (P&amp;L)'!H24</f>
        <v>5000</v>
      </c>
      <c r="I17" s="345">
        <f>'[4]6-Hm Budget Total-FY21 (P&amp;L)'!I24</f>
        <v>5000</v>
      </c>
      <c r="J17" s="345">
        <f>'[4]6-Hm Budget Total-FY21 (P&amp;L)'!J24</f>
        <v>5000</v>
      </c>
      <c r="K17" s="345">
        <f>'[4]6-Hm Budget Total-FY21 (P&amp;L)'!K24</f>
        <v>5000</v>
      </c>
      <c r="L17" s="345">
        <f>'[4]6-Hm Budget Total-FY21 (P&amp;L)'!L24</f>
        <v>5457.6</v>
      </c>
      <c r="M17" s="345">
        <f>'[4]6-Hm Budget Total-FY21 (P&amp;L)'!M24</f>
        <v>5486.2</v>
      </c>
      <c r="N17" s="345">
        <f>'[4]6-Hm Budget Total-FY21 (P&amp;L)'!N24</f>
        <v>5544.5</v>
      </c>
      <c r="O17" s="345">
        <f>'[4]6-Hm Budget Total-FY21 (P&amp;L)'!O24</f>
        <v>5543.4</v>
      </c>
      <c r="P17" s="346">
        <f t="shared" si="0"/>
        <v>62031.7</v>
      </c>
      <c r="Q17" s="347"/>
      <c r="R17" s="347"/>
      <c r="S17" s="349"/>
      <c r="T17" s="353">
        <v>59500</v>
      </c>
      <c r="U17" s="351">
        <f>'[4]6-Hm Budget Total-FY21 (P&amp;L)'!T24</f>
        <v>42105</v>
      </c>
      <c r="V17" s="351">
        <f>'[4]6-Hm FY21 Budget Variance (P&amp;L)'!G24</f>
        <v>46105</v>
      </c>
    </row>
    <row r="18" spans="1:23" ht="11.7" customHeight="1" x14ac:dyDescent="0.2">
      <c r="A18" s="343"/>
      <c r="B18" s="344">
        <v>4451</v>
      </c>
      <c r="C18" s="344" t="s">
        <v>280</v>
      </c>
      <c r="D18" s="345">
        <f>IFERROR(VLOOKUP($B18,'[4]6-Hm Budget Total-FY21 (P&amp;L)'!$B$5:$O$37,3,FALSE),0)</f>
        <v>1833.3333333333333</v>
      </c>
      <c r="E18" s="345">
        <f>IFERROR(VLOOKUP($B18,'[4]6-Hm Budget Total-FY21 (P&amp;L)'!$B$5:$O$37,4,FALSE),0)</f>
        <v>1833.3333333333333</v>
      </c>
      <c r="F18" s="345">
        <f>IFERROR(VLOOKUP($B18,'[4]6-Hm Budget Total-FY21 (P&amp;L)'!$B$5:$O$37,5,FALSE),0)</f>
        <v>1833.3333333333333</v>
      </c>
      <c r="G18" s="345">
        <f>IFERROR(VLOOKUP($B18,'[4]6-Hm Budget Total-FY21 (P&amp;L)'!$B$5:$O$37,6,FALSE),0)</f>
        <v>1833.3333333333333</v>
      </c>
      <c r="H18" s="345">
        <f>IFERROR(VLOOKUP($B18,'[4]6-Hm Budget Total-FY21 (P&amp;L)'!$B$5:$O$37,7,FALSE),0)</f>
        <v>1833.3333333333333</v>
      </c>
      <c r="I18" s="345">
        <f>IFERROR(VLOOKUP($B18,'[4]6-Hm Budget Total-FY21 (P&amp;L)'!$B$5:$O$37,8,FALSE),0)</f>
        <v>1833.3333333333333</v>
      </c>
      <c r="J18" s="345">
        <f>IFERROR(VLOOKUP($B18,'[4]6-Hm Budget Total-FY21 (P&amp;L)'!$B$5:$O$37,9,FALSE),0)</f>
        <v>1833.3333333333333</v>
      </c>
      <c r="K18" s="345">
        <f>IFERROR(VLOOKUP($B18,'[4]6-Hm Budget Total-FY21 (P&amp;L)'!$B$5:$O$37,10,FALSE),0)</f>
        <v>1833.3333333333333</v>
      </c>
      <c r="L18" s="345">
        <f>IFERROR(VLOOKUP($B18,'[4]6-Hm Budget Total-FY21 (P&amp;L)'!$B$5:$O$37,11,FALSE),0)</f>
        <v>2155.083333333333</v>
      </c>
      <c r="M18" s="345">
        <f>IFERROR(VLOOKUP($B18,'[4]6-Hm Budget Total-FY21 (P&amp;L)'!$B$5:$O$37,12,FALSE),0)</f>
        <v>2197.9833333333331</v>
      </c>
      <c r="N18" s="345">
        <f>IFERROR(VLOOKUP($B18,'[4]6-Hm Budget Total-FY21 (P&amp;L)'!$B$5:$O$37,13,FALSE),0)</f>
        <v>2264.395833333333</v>
      </c>
      <c r="O18" s="345">
        <f>IFERROR(VLOOKUP($B18,'[4]6-Hm Budget Total-FY21 (P&amp;L)'!$B$5:$O$37,14,FALSE),0)</f>
        <v>2283.7833333333333</v>
      </c>
      <c r="P18" s="346">
        <f t="shared" si="0"/>
        <v>23567.912499999999</v>
      </c>
      <c r="Q18" s="347"/>
      <c r="R18" s="347"/>
      <c r="S18" s="349">
        <v>23567.912499999999</v>
      </c>
      <c r="T18" s="353">
        <v>13750</v>
      </c>
      <c r="U18" s="351">
        <f>'[4]6-Hm Budget Total-FY21 (P&amp;L)'!T25</f>
        <v>17727.509999999998</v>
      </c>
      <c r="V18" s="351">
        <f>'[4]6-Hm FY21 Budget Variance (P&amp;L)'!G25</f>
        <v>20327.509999999998</v>
      </c>
    </row>
    <row r="19" spans="1:23" ht="11.7" customHeight="1" x14ac:dyDescent="0.2">
      <c r="A19" s="343"/>
      <c r="B19" s="344">
        <v>4520</v>
      </c>
      <c r="C19" s="344" t="s">
        <v>281</v>
      </c>
      <c r="D19" s="345">
        <f>IFERROR(VLOOKUP($B19,'[4]6-Hm Budget Total-FY21 (P&amp;L)'!$B$5:$O$37,3,FALSE),0)</f>
        <v>2500</v>
      </c>
      <c r="E19" s="345">
        <f>IFERROR(VLOOKUP($B19,'[4]6-Hm Budget Total-FY21 (P&amp;L)'!$B$5:$O$37,4,FALSE),0)</f>
        <v>2500</v>
      </c>
      <c r="F19" s="345">
        <f>IFERROR(VLOOKUP($B19,'[4]6-Hm Budget Total-FY21 (P&amp;L)'!$B$5:$O$37,5,FALSE),0)</f>
        <v>2500</v>
      </c>
      <c r="G19" s="345">
        <f>IFERROR(VLOOKUP($B19,'[4]6-Hm Budget Total-FY21 (P&amp;L)'!$B$5:$O$37,6,FALSE),0)</f>
        <v>2500</v>
      </c>
      <c r="H19" s="345">
        <f>IFERROR(VLOOKUP($B19,'[4]6-Hm Budget Total-FY21 (P&amp;L)'!$B$5:$O$37,7,FALSE),0)</f>
        <v>2500</v>
      </c>
      <c r="I19" s="345">
        <f>IFERROR(VLOOKUP($B19,'[4]6-Hm Budget Total-FY21 (P&amp;L)'!$B$5:$O$37,8,FALSE),0)</f>
        <v>2500</v>
      </c>
      <c r="J19" s="345">
        <f>IFERROR(VLOOKUP($B19,'[4]6-Hm Budget Total-FY21 (P&amp;L)'!$B$5:$O$37,9,FALSE),0)</f>
        <v>2500</v>
      </c>
      <c r="K19" s="345">
        <f>IFERROR(VLOOKUP($B19,'[4]6-Hm Budget Total-FY21 (P&amp;L)'!$B$5:$O$37,10,FALSE),0)</f>
        <v>2500</v>
      </c>
      <c r="L19" s="345">
        <f>IFERROR(VLOOKUP($B19,'[4]6-Hm Budget Total-FY21 (P&amp;L)'!$B$5:$O$37,11,FALSE),0)</f>
        <v>2700</v>
      </c>
      <c r="M19" s="345">
        <f>IFERROR(VLOOKUP($B19,'[4]6-Hm Budget Total-FY21 (P&amp;L)'!$B$5:$O$37,12,FALSE),0)</f>
        <v>2700</v>
      </c>
      <c r="N19" s="345">
        <f>IFERROR(VLOOKUP($B19,'[4]6-Hm Budget Total-FY21 (P&amp;L)'!$B$5:$O$37,13,FALSE),0)</f>
        <v>2700</v>
      </c>
      <c r="O19" s="345">
        <f>IFERROR(VLOOKUP($B19,'[4]6-Hm Budget Total-FY21 (P&amp;L)'!$B$5:$O$37,14,FALSE),0)</f>
        <v>2750</v>
      </c>
      <c r="P19" s="346">
        <f t="shared" si="0"/>
        <v>30850</v>
      </c>
      <c r="Q19" s="347"/>
      <c r="R19" s="347"/>
      <c r="S19" s="349">
        <v>30850</v>
      </c>
      <c r="T19" s="353">
        <v>37350</v>
      </c>
      <c r="U19" s="349">
        <f>'[4]6-Hm Budget Total-FY21 (P&amp;L)'!T26</f>
        <v>17721.2</v>
      </c>
      <c r="V19" s="349">
        <f>'[4]6-Hm FY21 Budget Variance (P&amp;L)'!G26</f>
        <v>20346.2</v>
      </c>
    </row>
    <row r="20" spans="1:23" ht="11.7" customHeight="1" x14ac:dyDescent="0.2">
      <c r="A20" s="343"/>
      <c r="B20" s="344">
        <v>4530</v>
      </c>
      <c r="C20" s="344" t="s">
        <v>284</v>
      </c>
      <c r="D20" s="345">
        <f>IFERROR(VLOOKUP($B20,'[4]6-Hm Budget Total-FY21 (P&amp;L)'!$B$5:$O$37,3,FALSE),0)</f>
        <v>25</v>
      </c>
      <c r="E20" s="345">
        <f>IFERROR(VLOOKUP($B20,'[4]6-Hm Budget Total-FY21 (P&amp;L)'!$B$5:$O$37,4,FALSE),0)</f>
        <v>25</v>
      </c>
      <c r="F20" s="345">
        <f>IFERROR(VLOOKUP($B20,'[4]6-Hm Budget Total-FY21 (P&amp;L)'!$B$5:$O$37,5,FALSE),0)</f>
        <v>25</v>
      </c>
      <c r="G20" s="345">
        <f>IFERROR(VLOOKUP($B20,'[4]6-Hm Budget Total-FY21 (P&amp;L)'!$B$5:$O$37,6,FALSE),0)</f>
        <v>25</v>
      </c>
      <c r="H20" s="345">
        <f>IFERROR(VLOOKUP($B20,'[4]6-Hm Budget Total-FY21 (P&amp;L)'!$B$5:$O$37,7,FALSE),0)</f>
        <v>0</v>
      </c>
      <c r="I20" s="345">
        <f>IFERROR(VLOOKUP($B20,'[4]6-Hm Budget Total-FY21 (P&amp;L)'!$B$5:$O$37,8,FALSE),0)</f>
        <v>0</v>
      </c>
      <c r="J20" s="345">
        <f>IFERROR(VLOOKUP($B20,'[4]6-Hm Budget Total-FY21 (P&amp;L)'!$B$5:$O$37,9,FALSE),0)</f>
        <v>825</v>
      </c>
      <c r="K20" s="345">
        <f>IFERROR(VLOOKUP($B20,'[4]6-Hm Budget Total-FY21 (P&amp;L)'!$B$5:$O$37,10,FALSE),0)</f>
        <v>0</v>
      </c>
      <c r="L20" s="345">
        <f>IFERROR(VLOOKUP($B20,'[4]6-Hm Budget Total-FY21 (P&amp;L)'!$B$5:$O$37,11,FALSE),0)</f>
        <v>0</v>
      </c>
      <c r="M20" s="345">
        <f>IFERROR(VLOOKUP($B20,'[4]6-Hm Budget Total-FY21 (P&amp;L)'!$B$5:$O$37,12,FALSE),0)</f>
        <v>0</v>
      </c>
      <c r="N20" s="345">
        <f>IFERROR(VLOOKUP($B20,'[4]6-Hm Budget Total-FY21 (P&amp;L)'!$B$5:$O$37,13,FALSE),0)</f>
        <v>25</v>
      </c>
      <c r="O20" s="345">
        <f>IFERROR(VLOOKUP($B20,'[4]6-Hm Budget Total-FY21 (P&amp;L)'!$B$5:$O$37,14,FALSE),0)</f>
        <v>25</v>
      </c>
      <c r="P20" s="346">
        <f t="shared" si="0"/>
        <v>975</v>
      </c>
      <c r="Q20" s="347"/>
      <c r="R20" s="99"/>
      <c r="S20" s="348">
        <v>975</v>
      </c>
      <c r="T20" s="349">
        <v>1050</v>
      </c>
      <c r="U20" s="349">
        <f>'[4]6-Hm Budget Total-FY21 (P&amp;L)'!T31</f>
        <v>975</v>
      </c>
      <c r="V20" s="349">
        <f>'[4]6-Hm FY21 Budget Variance (P&amp;L)'!G31</f>
        <v>975</v>
      </c>
    </row>
    <row r="21" spans="1:23" ht="11.7" customHeight="1" x14ac:dyDescent="0.2">
      <c r="A21" s="343"/>
      <c r="B21" s="344">
        <v>4550</v>
      </c>
      <c r="C21" s="344" t="s">
        <v>285</v>
      </c>
      <c r="D21" s="345">
        <f>IFERROR(VLOOKUP($B21,'[4]6-Hm Budget Total-FY21 (P&amp;L)'!$B$5:$O$37,3,FALSE),0)</f>
        <v>80</v>
      </c>
      <c r="E21" s="345">
        <f>IFERROR(VLOOKUP($B21,'[4]6-Hm Budget Total-FY21 (P&amp;L)'!$B$5:$O$37,4,FALSE),0)</f>
        <v>80</v>
      </c>
      <c r="F21" s="345">
        <f>IFERROR(VLOOKUP($B21,'[4]6-Hm Budget Total-FY21 (P&amp;L)'!$B$5:$O$37,5,FALSE),0)</f>
        <v>80</v>
      </c>
      <c r="G21" s="345">
        <f>IFERROR(VLOOKUP($B21,'[4]6-Hm Budget Total-FY21 (P&amp;L)'!$B$5:$O$37,6,FALSE),0)</f>
        <v>80</v>
      </c>
      <c r="H21" s="345">
        <f>IFERROR(VLOOKUP($B21,'[4]6-Hm Budget Total-FY21 (P&amp;L)'!$B$5:$O$37,7,FALSE),0)</f>
        <v>80</v>
      </c>
      <c r="I21" s="345">
        <f>IFERROR(VLOOKUP($B21,'[4]6-Hm Budget Total-FY21 (P&amp;L)'!$B$5:$O$37,8,FALSE),0)</f>
        <v>80</v>
      </c>
      <c r="J21" s="345">
        <f>IFERROR(VLOOKUP($B21,'[4]6-Hm Budget Total-FY21 (P&amp;L)'!$B$5:$O$37,9,FALSE),0)</f>
        <v>80</v>
      </c>
      <c r="K21" s="345">
        <f>IFERROR(VLOOKUP($B21,'[4]6-Hm Budget Total-FY21 (P&amp;L)'!$B$5:$O$37,10,FALSE),0)</f>
        <v>80</v>
      </c>
      <c r="L21" s="345">
        <f>IFERROR(VLOOKUP($B21,'[4]6-Hm Budget Total-FY21 (P&amp;L)'!$B$5:$O$37,11,FALSE),0)</f>
        <v>80</v>
      </c>
      <c r="M21" s="345">
        <f>IFERROR(VLOOKUP($B21,'[4]6-Hm Budget Total-FY21 (P&amp;L)'!$B$5:$O$37,12,FALSE),0)</f>
        <v>80</v>
      </c>
      <c r="N21" s="345">
        <f>IFERROR(VLOOKUP($B21,'[4]6-Hm Budget Total-FY21 (P&amp;L)'!$B$5:$O$37,13,FALSE),0)</f>
        <v>80</v>
      </c>
      <c r="O21" s="345">
        <f>IFERROR(VLOOKUP($B21,'[4]6-Hm Budget Total-FY21 (P&amp;L)'!$B$5:$O$37,14,FALSE),0)</f>
        <v>80</v>
      </c>
      <c r="P21" s="346">
        <f t="shared" si="0"/>
        <v>960</v>
      </c>
      <c r="Q21" s="347"/>
      <c r="R21" s="99"/>
      <c r="S21" s="348">
        <v>960</v>
      </c>
      <c r="T21" s="349">
        <v>840</v>
      </c>
      <c r="U21" s="349">
        <f>'[4]6-Hm Budget Total-FY21 (P&amp;L)'!T32</f>
        <v>847.09</v>
      </c>
      <c r="V21" s="349">
        <f>'[4]6-Hm FY21 Budget Variance (P&amp;L)'!G32</f>
        <v>987.09</v>
      </c>
    </row>
    <row r="22" spans="1:23" ht="11.7" customHeight="1" x14ac:dyDescent="0.2">
      <c r="A22" s="343"/>
      <c r="B22" s="344" t="s">
        <v>286</v>
      </c>
      <c r="C22" s="344" t="s">
        <v>287</v>
      </c>
      <c r="D22" s="345">
        <f>IFERROR(VLOOKUP($B22,'[4]6-Hm Budget Total-FY21 (P&amp;L)'!$B$5:$O$37,3,FALSE),0)</f>
        <v>1244.0489285714286</v>
      </c>
      <c r="E22" s="345">
        <f>IFERROR(VLOOKUP($B22,'[4]6-Hm Budget Total-FY21 (P&amp;L)'!$B$5:$O$37,4,FALSE),0)</f>
        <v>1244.0489285714286</v>
      </c>
      <c r="F22" s="345">
        <f>IFERROR(VLOOKUP($B22,'[4]6-Hm Budget Total-FY21 (P&amp;L)'!$B$5:$O$37,5,FALSE),0)</f>
        <v>1244.0489285714286</v>
      </c>
      <c r="G22" s="345">
        <f>IFERROR(VLOOKUP($B22,'[4]6-Hm Budget Total-FY21 (P&amp;L)'!$B$5:$O$37,6,FALSE),0)</f>
        <v>1244.0489285714286</v>
      </c>
      <c r="H22" s="345">
        <f>IFERROR(VLOOKUP($B22,'[4]6-Hm Budget Total-FY21 (P&amp;L)'!$B$5:$O$37,7,FALSE),0)</f>
        <v>1244.0489285714286</v>
      </c>
      <c r="I22" s="345">
        <f>IFERROR(VLOOKUP($B22,'[4]6-Hm Budget Total-FY21 (P&amp;L)'!$B$5:$O$37,8,FALSE),0)</f>
        <v>1244.0489285714286</v>
      </c>
      <c r="J22" s="345">
        <f>IFERROR(VLOOKUP($B22,'[4]6-Hm Budget Total-FY21 (P&amp;L)'!$B$5:$O$37,9,FALSE),0)</f>
        <v>1244.0489285714286</v>
      </c>
      <c r="K22" s="345">
        <f>IFERROR(VLOOKUP($B22,'[4]6-Hm Budget Total-FY21 (P&amp;L)'!$B$5:$O$37,10,FALSE),0)</f>
        <v>1244.0489285714286</v>
      </c>
      <c r="L22" s="345">
        <f>IFERROR(VLOOKUP($B22,'[4]6-Hm Budget Total-FY21 (P&amp;L)'!$B$5:$O$37,11,FALSE),0)</f>
        <v>1244.0489285714286</v>
      </c>
      <c r="M22" s="345">
        <f>IFERROR(VLOOKUP($B22,'[4]6-Hm Budget Total-FY21 (P&amp;L)'!$B$5:$O$37,12,FALSE),0)</f>
        <v>1244.0489285714286</v>
      </c>
      <c r="N22" s="345">
        <f>IFERROR(VLOOKUP($B22,'[4]6-Hm Budget Total-FY21 (P&amp;L)'!$B$5:$O$37,13,FALSE),0)</f>
        <v>1244.0489285714286</v>
      </c>
      <c r="O22" s="345">
        <f>IFERROR(VLOOKUP($B22,'[4]6-Hm Budget Total-FY21 (P&amp;L)'!$B$5:$O$37,14,FALSE),0)</f>
        <v>1244.0489285714286</v>
      </c>
      <c r="P22" s="346">
        <f t="shared" si="0"/>
        <v>14928.587142857143</v>
      </c>
      <c r="Q22" s="347"/>
      <c r="R22" s="99"/>
      <c r="S22" s="348">
        <v>14928.587142857143</v>
      </c>
      <c r="T22" s="349">
        <v>20000</v>
      </c>
      <c r="U22" s="349">
        <f>'[4]6-Hm Budget Total-FY21 (P&amp;L)'!T33</f>
        <v>37436.15</v>
      </c>
      <c r="V22" s="349">
        <f>'[4]6-Hm FY21 Budget Variance (P&amp;L)'!G33</f>
        <v>42436.15</v>
      </c>
    </row>
    <row r="23" spans="1:23" ht="11.7" customHeight="1" x14ac:dyDescent="0.2">
      <c r="A23" s="343"/>
      <c r="B23" s="344">
        <v>4615</v>
      </c>
      <c r="C23" s="344" t="s">
        <v>288</v>
      </c>
      <c r="D23" s="345">
        <f>IFERROR(VLOOKUP($B23,'[4]6-Hm Budget Total-FY21 (P&amp;L)'!$B$5:$O$37,3,FALSE),0)</f>
        <v>541.63607142857154</v>
      </c>
      <c r="E23" s="345">
        <f>IFERROR(VLOOKUP($B23,'[4]6-Hm Budget Total-FY21 (P&amp;L)'!$B$5:$O$37,4,FALSE),0)</f>
        <v>541.63607142857154</v>
      </c>
      <c r="F23" s="345">
        <f>IFERROR(VLOOKUP($B23,'[4]6-Hm Budget Total-FY21 (P&amp;L)'!$B$5:$O$37,5,FALSE),0)</f>
        <v>541.63607142857154</v>
      </c>
      <c r="G23" s="345">
        <f>IFERROR(VLOOKUP($B23,'[4]6-Hm Budget Total-FY21 (P&amp;L)'!$B$5:$O$37,6,FALSE),0)</f>
        <v>541.63607142857154</v>
      </c>
      <c r="H23" s="345">
        <f>IFERROR(VLOOKUP($B23,'[4]6-Hm Budget Total-FY21 (P&amp;L)'!$B$5:$O$37,7,FALSE),0)</f>
        <v>541.63607142857154</v>
      </c>
      <c r="I23" s="345">
        <f>IFERROR(VLOOKUP($B23,'[4]6-Hm Budget Total-FY21 (P&amp;L)'!$B$5:$O$37,8,FALSE),0)</f>
        <v>541.63607142857154</v>
      </c>
      <c r="J23" s="345">
        <f>IFERROR(VLOOKUP($B23,'[4]6-Hm Budget Total-FY21 (P&amp;L)'!$B$5:$O$37,9,FALSE),0)</f>
        <v>541.63607142857154</v>
      </c>
      <c r="K23" s="345">
        <f>IFERROR(VLOOKUP($B23,'[4]6-Hm Budget Total-FY21 (P&amp;L)'!$B$5:$O$37,10,FALSE),0)</f>
        <v>541.63607142857154</v>
      </c>
      <c r="L23" s="345">
        <f>IFERROR(VLOOKUP($B23,'[4]6-Hm Budget Total-FY21 (P&amp;L)'!$B$5:$O$37,11,FALSE),0)</f>
        <v>541.63607142857154</v>
      </c>
      <c r="M23" s="345">
        <f>IFERROR(VLOOKUP($B23,'[4]6-Hm Budget Total-FY21 (P&amp;L)'!$B$5:$O$37,12,FALSE),0)</f>
        <v>541.63607142857154</v>
      </c>
      <c r="N23" s="345">
        <f>IFERROR(VLOOKUP($B23,'[4]6-Hm Budget Total-FY21 (P&amp;L)'!$B$5:$O$37,13,FALSE),0)</f>
        <v>541.63607142857154</v>
      </c>
      <c r="O23" s="345">
        <f>IFERROR(VLOOKUP($B23,'[4]6-Hm Budget Total-FY21 (P&amp;L)'!$B$5:$O$37,14,FALSE),0)</f>
        <v>541.63607142857154</v>
      </c>
      <c r="P23" s="346">
        <f t="shared" si="0"/>
        <v>6499.6328571428567</v>
      </c>
      <c r="Q23" s="347"/>
      <c r="R23" s="99"/>
      <c r="S23" s="348">
        <v>6499.6328571428567</v>
      </c>
      <c r="T23" s="349">
        <v>13000.000000000002</v>
      </c>
      <c r="U23" s="349">
        <f>'[4]6-Hm Budget Total-FY21 (P&amp;L)'!T34</f>
        <v>14726.02</v>
      </c>
      <c r="V23" s="349">
        <f>'[4]6-Hm FY21 Budget Variance (P&amp;L)'!G34</f>
        <v>15726.02</v>
      </c>
    </row>
    <row r="24" spans="1:23" ht="11.7" customHeight="1" x14ac:dyDescent="0.2">
      <c r="A24" s="343"/>
      <c r="B24" s="344">
        <v>4638</v>
      </c>
      <c r="C24" s="344" t="s">
        <v>289</v>
      </c>
      <c r="D24" s="345">
        <f>IFERROR(VLOOKUP($B24,'[4]6-Hm Budget Total-FY21 (P&amp;L)'!$B$5:$O$37,3,FALSE),0)</f>
        <v>0</v>
      </c>
      <c r="E24" s="345">
        <f>IFERROR(VLOOKUP($B24,'[4]6-Hm Budget Total-FY21 (P&amp;L)'!$B$5:$O$37,4,FALSE),0)</f>
        <v>75000</v>
      </c>
      <c r="F24" s="345">
        <f>IFERROR(VLOOKUP($B24,'[4]6-Hm Budget Total-FY21 (P&amp;L)'!$B$5:$O$37,5,FALSE),0)</f>
        <v>0</v>
      </c>
      <c r="G24" s="345">
        <f>IFERROR(VLOOKUP($B24,'[4]6-Hm Budget Total-FY21 (P&amp;L)'!$B$5:$O$37,6,FALSE),0)</f>
        <v>0</v>
      </c>
      <c r="H24" s="345">
        <f>IFERROR(VLOOKUP($B24,'[4]6-Hm Budget Total-FY21 (P&amp;L)'!$B$5:$O$37,7,FALSE),0)</f>
        <v>0</v>
      </c>
      <c r="I24" s="345">
        <f>IFERROR(VLOOKUP($B24,'[4]6-Hm Budget Total-FY21 (P&amp;L)'!$B$5:$O$37,8,FALSE),0)</f>
        <v>0</v>
      </c>
      <c r="J24" s="345">
        <f>IFERROR(VLOOKUP($B24,'[4]6-Hm Budget Total-FY21 (P&amp;L)'!$B$5:$O$37,9,FALSE),0)</f>
        <v>0</v>
      </c>
      <c r="K24" s="345">
        <f>IFERROR(VLOOKUP($B24,'[4]6-Hm Budget Total-FY21 (P&amp;L)'!$B$5:$O$37,10,FALSE),0)</f>
        <v>0</v>
      </c>
      <c r="L24" s="345">
        <f>IFERROR(VLOOKUP($B24,'[4]6-Hm Budget Total-FY21 (P&amp;L)'!$B$5:$O$37,11,FALSE),0)</f>
        <v>0</v>
      </c>
      <c r="M24" s="345">
        <f>IFERROR(VLOOKUP($B24,'[4]6-Hm Budget Total-FY21 (P&amp;L)'!$B$5:$O$37,12,FALSE),0)</f>
        <v>0</v>
      </c>
      <c r="N24" s="345">
        <f>IFERROR(VLOOKUP($B24,'[4]6-Hm Budget Total-FY21 (P&amp;L)'!$B$5:$O$37,13,FALSE),0)</f>
        <v>0</v>
      </c>
      <c r="O24" s="345">
        <f>IFERROR(VLOOKUP($B24,'[4]6-Hm Budget Total-FY21 (P&amp;L)'!$B$5:$O$37,14,FALSE),0)</f>
        <v>0</v>
      </c>
      <c r="P24" s="346">
        <f t="shared" si="0"/>
        <v>75000</v>
      </c>
      <c r="Q24" s="354"/>
      <c r="R24" s="355"/>
      <c r="S24" s="348">
        <v>75000</v>
      </c>
      <c r="T24" s="349">
        <v>60000</v>
      </c>
      <c r="U24" s="349">
        <v>122512</v>
      </c>
      <c r="V24" s="349">
        <f>'[4]6-Hm FY21 Budget Variance (P&amp;L)'!$G$36</f>
        <v>122512.47</v>
      </c>
    </row>
    <row r="25" spans="1:23" ht="11.7" customHeight="1" x14ac:dyDescent="0.2">
      <c r="A25" s="343"/>
      <c r="B25" s="344"/>
      <c r="C25" s="356" t="s">
        <v>221</v>
      </c>
      <c r="D25" s="352">
        <f>110000*2+130000</f>
        <v>350000</v>
      </c>
      <c r="E25" s="352"/>
      <c r="F25" s="352"/>
      <c r="G25" s="352"/>
      <c r="H25" s="352"/>
      <c r="I25" s="352"/>
      <c r="J25" s="352"/>
      <c r="K25" s="352"/>
      <c r="L25" s="352"/>
      <c r="M25" s="352"/>
      <c r="N25" s="352"/>
      <c r="O25" s="352"/>
      <c r="P25" s="346">
        <f>SUM(D25:O25)+SUM(20000*2)</f>
        <v>390000</v>
      </c>
      <c r="Q25" s="353" t="s">
        <v>458</v>
      </c>
      <c r="R25" s="355"/>
      <c r="S25" s="348">
        <v>260000</v>
      </c>
      <c r="T25" s="349">
        <v>0</v>
      </c>
      <c r="U25" s="349">
        <v>587587</v>
      </c>
      <c r="V25" s="349">
        <f>U25</f>
        <v>587587</v>
      </c>
    </row>
    <row r="26" spans="1:23" ht="11.7" customHeight="1" x14ac:dyDescent="0.2">
      <c r="A26" s="343"/>
      <c r="B26" s="344"/>
      <c r="C26" s="358" t="s">
        <v>223</v>
      </c>
      <c r="D26" s="345">
        <v>23600</v>
      </c>
      <c r="E26" s="345">
        <f>SUM(600*2)+23600</f>
        <v>24800</v>
      </c>
      <c r="F26" s="345">
        <v>24800</v>
      </c>
      <c r="G26" s="345">
        <f>SUM(600*2)+24800</f>
        <v>26000</v>
      </c>
      <c r="H26" s="345">
        <v>26000</v>
      </c>
      <c r="I26" s="345">
        <f>26000+600</f>
        <v>26600</v>
      </c>
      <c r="J26" s="345">
        <v>26600</v>
      </c>
      <c r="K26" s="345">
        <v>26600</v>
      </c>
      <c r="L26" s="345">
        <v>26600</v>
      </c>
      <c r="M26" s="345">
        <v>26600</v>
      </c>
      <c r="N26" s="345">
        <f>26600+500</f>
        <v>27100</v>
      </c>
      <c r="O26" s="345">
        <f>26600+500</f>
        <v>27100</v>
      </c>
      <c r="P26" s="346">
        <f t="shared" si="0"/>
        <v>312400</v>
      </c>
      <c r="Q26" s="353"/>
      <c r="R26" s="355"/>
      <c r="S26" s="348">
        <v>312400</v>
      </c>
      <c r="T26" s="349">
        <v>272506.92</v>
      </c>
      <c r="U26" s="349">
        <v>214534.44999999998</v>
      </c>
      <c r="V26" s="349">
        <f>U26+23000+23000</f>
        <v>260534.44999999998</v>
      </c>
    </row>
    <row r="27" spans="1:23" ht="11.7" customHeight="1" x14ac:dyDescent="0.2">
      <c r="A27" s="343"/>
      <c r="B27" s="344"/>
      <c r="C27" s="358"/>
      <c r="D27" s="354"/>
      <c r="E27" s="354"/>
      <c r="F27" s="354"/>
      <c r="G27" s="354"/>
      <c r="H27" s="354"/>
      <c r="I27" s="354"/>
      <c r="J27" s="354"/>
      <c r="K27" s="354"/>
      <c r="L27" s="354"/>
      <c r="M27" s="354"/>
      <c r="N27" s="354"/>
      <c r="O27" s="354"/>
      <c r="P27" s="346"/>
      <c r="Q27" s="359"/>
      <c r="R27" s="353"/>
      <c r="S27" s="349"/>
      <c r="T27" s="354"/>
      <c r="U27" s="349"/>
      <c r="V27" s="349"/>
    </row>
    <row r="28" spans="1:23" ht="11.7" hidden="1" customHeight="1" x14ac:dyDescent="0.2">
      <c r="A28" s="343"/>
      <c r="B28" s="344"/>
      <c r="C28" s="358"/>
      <c r="D28" s="354"/>
      <c r="E28" s="354"/>
      <c r="F28" s="354"/>
      <c r="G28" s="354"/>
      <c r="H28" s="354"/>
      <c r="I28" s="354"/>
      <c r="J28" s="354"/>
      <c r="K28" s="354"/>
      <c r="L28" s="354"/>
      <c r="M28" s="354"/>
      <c r="N28" s="354"/>
      <c r="O28" s="354"/>
      <c r="P28" s="346">
        <f t="shared" si="0"/>
        <v>0</v>
      </c>
      <c r="Q28" s="353"/>
      <c r="R28" s="355"/>
      <c r="S28" s="348">
        <v>0</v>
      </c>
      <c r="T28" s="354"/>
      <c r="U28" s="349"/>
      <c r="V28" s="349"/>
      <c r="W28" s="337"/>
    </row>
    <row r="29" spans="1:23" ht="11.7" hidden="1" customHeight="1" x14ac:dyDescent="0.2">
      <c r="A29" s="343"/>
      <c r="B29" s="344"/>
      <c r="C29" s="358"/>
      <c r="D29" s="354"/>
      <c r="E29" s="354"/>
      <c r="F29" s="354"/>
      <c r="G29" s="354"/>
      <c r="H29" s="354"/>
      <c r="I29" s="354"/>
      <c r="J29" s="354"/>
      <c r="K29" s="354"/>
      <c r="L29" s="354"/>
      <c r="M29" s="354"/>
      <c r="N29" s="354"/>
      <c r="O29" s="354"/>
      <c r="P29" s="346">
        <f t="shared" si="0"/>
        <v>0</v>
      </c>
      <c r="Q29" s="353"/>
      <c r="R29" s="355"/>
      <c r="S29" s="348">
        <v>0</v>
      </c>
      <c r="T29" s="354"/>
      <c r="U29" s="349"/>
      <c r="V29" s="349"/>
      <c r="W29" s="360"/>
    </row>
    <row r="30" spans="1:23" ht="11.7" hidden="1" customHeight="1" x14ac:dyDescent="0.2">
      <c r="A30" s="343"/>
      <c r="B30" s="344"/>
      <c r="C30" s="361"/>
      <c r="D30" s="354"/>
      <c r="E30" s="354"/>
      <c r="F30" s="354"/>
      <c r="G30" s="354"/>
      <c r="H30" s="354"/>
      <c r="I30" s="354"/>
      <c r="J30" s="354"/>
      <c r="K30" s="354"/>
      <c r="L30" s="354"/>
      <c r="M30" s="354"/>
      <c r="N30" s="354"/>
      <c r="O30" s="354"/>
      <c r="P30" s="346">
        <f t="shared" si="0"/>
        <v>0</v>
      </c>
      <c r="Q30" s="353"/>
      <c r="R30" s="355"/>
      <c r="S30" s="348">
        <v>0</v>
      </c>
      <c r="T30" s="354"/>
      <c r="U30" s="349"/>
      <c r="V30" s="349"/>
      <c r="W30" s="337"/>
    </row>
    <row r="31" spans="1:23" ht="11.7" hidden="1" customHeight="1" x14ac:dyDescent="0.2">
      <c r="A31" s="343"/>
      <c r="B31" s="344"/>
      <c r="C31" s="344"/>
      <c r="D31" s="354"/>
      <c r="E31" s="354"/>
      <c r="F31" s="354"/>
      <c r="G31" s="354"/>
      <c r="H31" s="354"/>
      <c r="I31" s="354"/>
      <c r="J31" s="354"/>
      <c r="K31" s="354"/>
      <c r="L31" s="354"/>
      <c r="M31" s="354"/>
      <c r="N31" s="354"/>
      <c r="O31" s="354"/>
      <c r="P31" s="346">
        <f t="shared" si="0"/>
        <v>0</v>
      </c>
      <c r="Q31" s="353"/>
      <c r="R31" s="355"/>
      <c r="S31" s="348">
        <v>0</v>
      </c>
      <c r="T31" s="354">
        <v>0</v>
      </c>
      <c r="U31" s="349">
        <v>0</v>
      </c>
      <c r="V31" s="349"/>
    </row>
    <row r="32" spans="1:23" hidden="1" x14ac:dyDescent="0.2">
      <c r="A32" s="343"/>
      <c r="B32" s="344"/>
      <c r="C32" s="344"/>
      <c r="D32" s="354"/>
      <c r="E32" s="354"/>
      <c r="F32" s="354"/>
      <c r="G32" s="354"/>
      <c r="H32" s="354"/>
      <c r="I32" s="354"/>
      <c r="J32" s="354"/>
      <c r="K32" s="354"/>
      <c r="L32" s="354"/>
      <c r="M32" s="354"/>
      <c r="N32" s="354"/>
      <c r="O32" s="354"/>
      <c r="P32" s="346">
        <f t="shared" si="0"/>
        <v>0</v>
      </c>
      <c r="Q32" s="353"/>
      <c r="R32" s="355"/>
      <c r="S32" s="348">
        <v>0</v>
      </c>
      <c r="T32" s="354">
        <v>0</v>
      </c>
      <c r="U32" s="349">
        <v>0</v>
      </c>
      <c r="V32" s="349"/>
    </row>
    <row r="33" spans="2:23" x14ac:dyDescent="0.2">
      <c r="B33" s="363"/>
      <c r="C33" s="363"/>
      <c r="D33" s="347"/>
      <c r="E33" s="347"/>
      <c r="F33" s="347"/>
      <c r="G33" s="347"/>
      <c r="H33" s="347"/>
      <c r="I33" s="347"/>
      <c r="J33" s="347"/>
      <c r="K33" s="347"/>
      <c r="L33" s="347"/>
      <c r="M33" s="347"/>
      <c r="N33" s="347"/>
      <c r="O33" s="347"/>
      <c r="P33" s="346"/>
      <c r="Q33" s="353"/>
      <c r="R33" s="353"/>
      <c r="S33" s="364"/>
      <c r="T33" s="354">
        <v>0</v>
      </c>
      <c r="U33" s="349"/>
      <c r="V33" s="349"/>
      <c r="W33" s="143"/>
    </row>
    <row r="34" spans="2:23" ht="12" x14ac:dyDescent="0.25">
      <c r="B34" s="365" t="s">
        <v>13</v>
      </c>
      <c r="C34" s="365"/>
      <c r="D34" s="264">
        <f t="shared" ref="D34:P34" si="1">ROUNDUP(SUM(D4:D32),0)</f>
        <v>543060</v>
      </c>
      <c r="E34" s="264">
        <f t="shared" si="1"/>
        <v>301825</v>
      </c>
      <c r="F34" s="264">
        <f t="shared" si="1"/>
        <v>227385</v>
      </c>
      <c r="G34" s="264">
        <f t="shared" si="1"/>
        <v>301785</v>
      </c>
      <c r="H34" s="264">
        <f t="shared" si="1"/>
        <v>247225</v>
      </c>
      <c r="I34" s="264">
        <f t="shared" si="1"/>
        <v>333710</v>
      </c>
      <c r="J34" s="264">
        <f t="shared" si="1"/>
        <v>238160</v>
      </c>
      <c r="K34" s="264">
        <f t="shared" si="1"/>
        <v>224085</v>
      </c>
      <c r="L34" s="264">
        <f t="shared" si="1"/>
        <v>284074</v>
      </c>
      <c r="M34" s="264">
        <f t="shared" si="1"/>
        <v>323930</v>
      </c>
      <c r="N34" s="264">
        <f t="shared" si="1"/>
        <v>285675</v>
      </c>
      <c r="O34" s="264">
        <f t="shared" si="1"/>
        <v>293122</v>
      </c>
      <c r="P34" s="366">
        <f t="shared" si="1"/>
        <v>3615184</v>
      </c>
      <c r="Q34" s="264"/>
      <c r="R34" s="264">
        <v>0</v>
      </c>
      <c r="S34" s="264">
        <v>3380989</v>
      </c>
      <c r="T34" s="264">
        <f>SUM(T4:T33)</f>
        <v>3365896.92</v>
      </c>
      <c r="U34" s="264">
        <f>SUM(U4:U33)</f>
        <v>3286698.2399999998</v>
      </c>
      <c r="V34" s="264">
        <f>SUM(V4:V33)</f>
        <v>3615062.71</v>
      </c>
    </row>
    <row r="35" spans="2:23" ht="12" x14ac:dyDescent="0.25">
      <c r="B35" s="342"/>
      <c r="C35" s="342"/>
      <c r="D35" s="367"/>
      <c r="E35" s="367"/>
      <c r="F35" s="367"/>
      <c r="G35" s="367"/>
      <c r="H35" s="367"/>
      <c r="I35" s="367"/>
      <c r="J35" s="367"/>
      <c r="K35" s="367"/>
      <c r="L35" s="367"/>
      <c r="M35" s="367"/>
      <c r="N35" s="367"/>
      <c r="O35" s="367"/>
      <c r="T35" s="367"/>
      <c r="U35" s="367"/>
      <c r="V35" s="367"/>
    </row>
    <row r="36" spans="2:23" x14ac:dyDescent="0.2">
      <c r="B36" s="368">
        <v>7310</v>
      </c>
      <c r="C36" s="363" t="s">
        <v>290</v>
      </c>
      <c r="D36" s="345">
        <f>IFERROR(VLOOKUP($B36,'[4]6-Hm Budget Total-FY21 (P&amp;L)'!$B$40:$O$117,3,FALSE),0)</f>
        <v>0</v>
      </c>
      <c r="E36" s="345">
        <f>IFERROR(VLOOKUP($B36,'[4]6-Hm Budget Total-FY21 (P&amp;L)'!$B$40:$O$117,4,FALSE),0)</f>
        <v>0</v>
      </c>
      <c r="F36" s="345">
        <f>IFERROR(VLOOKUP($B36,'[4]6-Hm Budget Total-FY21 (P&amp;L)'!$B$40:$O$117,5,FALSE),0)</f>
        <v>0</v>
      </c>
      <c r="G36" s="345">
        <f>IFERROR(VLOOKUP($B36,'[4]6-Hm Budget Total-FY21 (P&amp;L)'!$B$40:$O$117,6,FALSE),0)</f>
        <v>16170.000000000002</v>
      </c>
      <c r="H36" s="345">
        <f>IFERROR(VLOOKUP($B36,'[4]6-Hm Budget Total-FY21 (P&amp;L)'!$B$40:$O$117,7,FALSE),0)</f>
        <v>0</v>
      </c>
      <c r="I36" s="345">
        <f>IFERROR(VLOOKUP($B36,'[4]6-Hm Budget Total-FY21 (P&amp;L)'!$B$40:$O$117,8,FALSE),0)</f>
        <v>0</v>
      </c>
      <c r="J36" s="345">
        <f>IFERROR(VLOOKUP($B36,'[4]6-Hm Budget Total-FY21 (P&amp;L)'!$B$40:$O$117,9,FALSE),0)</f>
        <v>0</v>
      </c>
      <c r="K36" s="345">
        <f>IFERROR(VLOOKUP($B36,'[4]6-Hm Budget Total-FY21 (P&amp;L)'!$B$40:$O$117,10,FALSE),0)</f>
        <v>0</v>
      </c>
      <c r="L36" s="345">
        <f>IFERROR(VLOOKUP($B36,'[4]6-Hm Budget Total-FY21 (P&amp;L)'!$B$40:$O$117,11,FALSE),0)</f>
        <v>0</v>
      </c>
      <c r="M36" s="345">
        <f>IFERROR(VLOOKUP($B36,'[4]6-Hm Budget Total-FY21 (P&amp;L)'!$B$40:$O$117,12,FALSE),0)</f>
        <v>0</v>
      </c>
      <c r="N36" s="345">
        <f>IFERROR(VLOOKUP($B36,'[4]6-Hm Budget Total-FY21 (P&amp;L)'!$B$40:$O$117,13,FALSE),0)</f>
        <v>0</v>
      </c>
      <c r="O36" s="345">
        <f>IFERROR(VLOOKUP($B36,'[4]6-Hm Budget Total-FY21 (P&amp;L)'!$B$40:$O$117,14,FALSE),0)</f>
        <v>0</v>
      </c>
      <c r="P36" s="357">
        <f>SUM(D36:O36)</f>
        <v>16170.000000000002</v>
      </c>
      <c r="Q36" s="345"/>
      <c r="R36" s="99"/>
      <c r="S36" s="348">
        <v>16170.000000000002</v>
      </c>
      <c r="T36" s="349">
        <v>14100</v>
      </c>
      <c r="U36" s="351">
        <f>'[4]6-Hm Budget Total-FY21 (P&amp;L)'!T40</f>
        <v>14950</v>
      </c>
      <c r="V36" s="351">
        <f>'[4]6-Hm FY21 Budget Variance (P&amp;L)'!G43</f>
        <v>14950</v>
      </c>
    </row>
    <row r="37" spans="2:23" x14ac:dyDescent="0.2">
      <c r="B37" s="369" t="s">
        <v>291</v>
      </c>
      <c r="C37" s="363" t="s">
        <v>292</v>
      </c>
      <c r="D37" s="345">
        <f>IFERROR(VLOOKUP($B37,'[4]6-Hm Budget Total-FY21 (P&amp;L)'!$B$40:$O$117,3,FALSE),0)</f>
        <v>7050</v>
      </c>
      <c r="E37" s="345">
        <f>IFERROR(VLOOKUP($B37,'[4]6-Hm Budget Total-FY21 (P&amp;L)'!$B$40:$O$117,4,FALSE),0)</f>
        <v>6750</v>
      </c>
      <c r="F37" s="345">
        <f>IFERROR(VLOOKUP($B37,'[4]6-Hm Budget Total-FY21 (P&amp;L)'!$B$40:$O$117,5,FALSE),0)</f>
        <v>6750</v>
      </c>
      <c r="G37" s="345">
        <f>IFERROR(VLOOKUP($B37,'[4]6-Hm Budget Total-FY21 (P&amp;L)'!$B$40:$O$117,6,FALSE),0)</f>
        <v>6750</v>
      </c>
      <c r="H37" s="345">
        <f>IFERROR(VLOOKUP($B37,'[4]6-Hm Budget Total-FY21 (P&amp;L)'!$B$40:$O$117,7,FALSE),0)</f>
        <v>8250</v>
      </c>
      <c r="I37" s="345">
        <f>IFERROR(VLOOKUP($B37,'[4]6-Hm Budget Total-FY21 (P&amp;L)'!$B$40:$O$117,8,FALSE),0)</f>
        <v>6750</v>
      </c>
      <c r="J37" s="345">
        <f>IFERROR(VLOOKUP($B37,'[4]6-Hm Budget Total-FY21 (P&amp;L)'!$B$40:$O$117,9,FALSE),0)</f>
        <v>6950</v>
      </c>
      <c r="K37" s="345">
        <f>IFERROR(VLOOKUP($B37,'[4]6-Hm Budget Total-FY21 (P&amp;L)'!$B$40:$O$117,10,FALSE),0)</f>
        <v>11950</v>
      </c>
      <c r="L37" s="345">
        <f>IFERROR(VLOOKUP($B37,'[4]6-Hm Budget Total-FY21 (P&amp;L)'!$B$40:$O$117,11,FALSE),0)</f>
        <v>10450</v>
      </c>
      <c r="M37" s="345">
        <f>IFERROR(VLOOKUP($B37,'[4]6-Hm Budget Total-FY21 (P&amp;L)'!$B$40:$O$117,12,FALSE),0)</f>
        <v>8950</v>
      </c>
      <c r="N37" s="345">
        <f>IFERROR(VLOOKUP($B37,'[4]6-Hm Budget Total-FY21 (P&amp;L)'!$B$40:$O$117,13,FALSE),0)</f>
        <v>7950</v>
      </c>
      <c r="O37" s="345">
        <f>IFERROR(VLOOKUP($B37,'[4]6-Hm Budget Total-FY21 (P&amp;L)'!$B$40:$O$117,14,FALSE),0)</f>
        <v>7950</v>
      </c>
      <c r="P37" s="357">
        <f t="shared" ref="P37:P100" si="2">(ROUNDUP(SUM(D37:O37),0))</f>
        <v>96500</v>
      </c>
      <c r="Q37" s="345"/>
      <c r="R37" s="99"/>
      <c r="S37" s="348">
        <v>96500</v>
      </c>
      <c r="T37" s="349">
        <v>95200</v>
      </c>
      <c r="U37" s="351">
        <f>'[4]6-Hm Budget Total-FY21 (P&amp;L)'!T41</f>
        <v>61998.31</v>
      </c>
      <c r="V37" s="351">
        <f>'[4]6-Hm FY21 Budget Variance (P&amp;L)'!G44</f>
        <v>79398.31</v>
      </c>
    </row>
    <row r="38" spans="2:23" x14ac:dyDescent="0.2">
      <c r="B38" s="369">
        <v>5405</v>
      </c>
      <c r="C38" s="363" t="s">
        <v>293</v>
      </c>
      <c r="D38" s="345">
        <f>IFERROR(VLOOKUP($B38,'[4]6-Hm Budget Total-FY21 (P&amp;L)'!$B$40:$O$117,3,FALSE),0)</f>
        <v>0</v>
      </c>
      <c r="E38" s="345">
        <f>IFERROR(VLOOKUP($B38,'[4]6-Hm Budget Total-FY21 (P&amp;L)'!$B$40:$O$117,4,FALSE),0)</f>
        <v>0</v>
      </c>
      <c r="F38" s="345">
        <f>IFERROR(VLOOKUP($B38,'[4]6-Hm Budget Total-FY21 (P&amp;L)'!$B$40:$O$117,5,FALSE),0)</f>
        <v>0</v>
      </c>
      <c r="G38" s="345">
        <f>IFERROR(VLOOKUP($B38,'[4]6-Hm Budget Total-FY21 (P&amp;L)'!$B$40:$O$117,6,FALSE),0)</f>
        <v>0</v>
      </c>
      <c r="H38" s="345">
        <f>IFERROR(VLOOKUP($B38,'[4]6-Hm Budget Total-FY21 (P&amp;L)'!$B$40:$O$117,7,FALSE),0)</f>
        <v>0</v>
      </c>
      <c r="I38" s="345">
        <f>IFERROR(VLOOKUP($B38,'[4]6-Hm Budget Total-FY21 (P&amp;L)'!$B$40:$O$117,8,FALSE),0)</f>
        <v>0</v>
      </c>
      <c r="J38" s="345">
        <f>IFERROR(VLOOKUP($B38,'[4]6-Hm Budget Total-FY21 (P&amp;L)'!$B$40:$O$117,9,FALSE),0)</f>
        <v>50</v>
      </c>
      <c r="K38" s="345">
        <f>IFERROR(VLOOKUP($B38,'[4]6-Hm Budget Total-FY21 (P&amp;L)'!$B$40:$O$117,10,FALSE),0)</f>
        <v>250</v>
      </c>
      <c r="L38" s="345">
        <f>IFERROR(VLOOKUP($B38,'[4]6-Hm Budget Total-FY21 (P&amp;L)'!$B$40:$O$117,11,FALSE),0)</f>
        <v>50</v>
      </c>
      <c r="M38" s="345">
        <f>IFERROR(VLOOKUP($B38,'[4]6-Hm Budget Total-FY21 (P&amp;L)'!$B$40:$O$117,12,FALSE),0)</f>
        <v>50</v>
      </c>
      <c r="N38" s="345">
        <f>IFERROR(VLOOKUP($B38,'[4]6-Hm Budget Total-FY21 (P&amp;L)'!$B$40:$O$117,13,FALSE),0)</f>
        <v>50</v>
      </c>
      <c r="O38" s="345">
        <f>IFERROR(VLOOKUP($B38,'[4]6-Hm Budget Total-FY21 (P&amp;L)'!$B$40:$O$117,14,FALSE),0)</f>
        <v>50</v>
      </c>
      <c r="P38" s="346">
        <f t="shared" si="2"/>
        <v>500</v>
      </c>
      <c r="Q38" s="345"/>
      <c r="R38" s="99"/>
      <c r="S38" s="348">
        <v>500</v>
      </c>
      <c r="T38" s="349">
        <v>500</v>
      </c>
      <c r="U38" s="351">
        <f>'[4]6-Hm Budget Total-FY21 (P&amp;L)'!T42</f>
        <v>299</v>
      </c>
      <c r="V38" s="351">
        <f>'[4]6-Hm FY21 Budget Variance (P&amp;L)'!G45</f>
        <v>299</v>
      </c>
    </row>
    <row r="39" spans="2:23" x14ac:dyDescent="0.2">
      <c r="B39" s="369" t="s">
        <v>294</v>
      </c>
      <c r="C39" s="363" t="s">
        <v>295</v>
      </c>
      <c r="D39" s="345">
        <f>IFERROR(VLOOKUP($B39,'[4]6-Hm Budget Total-FY21 (P&amp;L)'!$B$40:$O$117,3,FALSE),0)</f>
        <v>1000</v>
      </c>
      <c r="E39" s="345">
        <f>IFERROR(VLOOKUP($B39,'[4]6-Hm Budget Total-FY21 (P&amp;L)'!$B$40:$O$117,4,FALSE),0)</f>
        <v>1000</v>
      </c>
      <c r="F39" s="345">
        <f>IFERROR(VLOOKUP($B39,'[4]6-Hm Budget Total-FY21 (P&amp;L)'!$B$40:$O$117,5,FALSE),0)</f>
        <v>1000</v>
      </c>
      <c r="G39" s="345">
        <f>IFERROR(VLOOKUP($B39,'[4]6-Hm Budget Total-FY21 (P&amp;L)'!$B$40:$O$117,6,FALSE),0)</f>
        <v>1000</v>
      </c>
      <c r="H39" s="345">
        <f>IFERROR(VLOOKUP($B39,'[4]6-Hm Budget Total-FY21 (P&amp;L)'!$B$40:$O$117,7,FALSE),0)</f>
        <v>1000</v>
      </c>
      <c r="I39" s="345">
        <f>IFERROR(VLOOKUP($B39,'[4]6-Hm Budget Total-FY21 (P&amp;L)'!$B$40:$O$117,8,FALSE),0)</f>
        <v>1000</v>
      </c>
      <c r="J39" s="345">
        <f>IFERROR(VLOOKUP($B39,'[4]6-Hm Budget Total-FY21 (P&amp;L)'!$B$40:$O$117,9,FALSE),0)</f>
        <v>1000</v>
      </c>
      <c r="K39" s="345">
        <f>IFERROR(VLOOKUP($B39,'[4]6-Hm Budget Total-FY21 (P&amp;L)'!$B$40:$O$117,10,FALSE),0)</f>
        <v>1000</v>
      </c>
      <c r="L39" s="345">
        <f>IFERROR(VLOOKUP($B39,'[4]6-Hm Budget Total-FY21 (P&amp;L)'!$B$40:$O$117,11,FALSE),0)</f>
        <v>0</v>
      </c>
      <c r="M39" s="345">
        <f>IFERROR(VLOOKUP($B39,'[4]6-Hm Budget Total-FY21 (P&amp;L)'!$B$40:$O$117,12,FALSE),0)</f>
        <v>0</v>
      </c>
      <c r="N39" s="345">
        <f>IFERROR(VLOOKUP($B39,'[4]6-Hm Budget Total-FY21 (P&amp;L)'!$B$40:$O$117,13,FALSE),0)</f>
        <v>0</v>
      </c>
      <c r="O39" s="345">
        <f>IFERROR(VLOOKUP($B39,'[4]6-Hm Budget Total-FY21 (P&amp;L)'!$B$40:$O$117,14,FALSE),0)</f>
        <v>0</v>
      </c>
      <c r="P39" s="357">
        <f t="shared" si="2"/>
        <v>8000</v>
      </c>
      <c r="Q39" s="345"/>
      <c r="R39" s="99"/>
      <c r="S39" s="348">
        <v>16340</v>
      </c>
      <c r="T39" s="349">
        <v>20000</v>
      </c>
      <c r="U39" s="351">
        <f>'[4]6-Hm Budget Total-FY21 (P&amp;L)'!T43</f>
        <v>2499.9899999999998</v>
      </c>
      <c r="V39" s="351">
        <f>'[4]6-Hm FY21 Budget Variance (P&amp;L)'!G46</f>
        <v>4299.99</v>
      </c>
    </row>
    <row r="40" spans="2:23" x14ac:dyDescent="0.2">
      <c r="B40" s="268" t="s">
        <v>226</v>
      </c>
      <c r="C40" s="363" t="s">
        <v>129</v>
      </c>
      <c r="D40" s="345">
        <f>IFERROR(VLOOKUP($B40,'[4]6-Hm Budget Total-FY21 (P&amp;L)'!$B$40:$O$117,3,FALSE),0)</f>
        <v>27.5</v>
      </c>
      <c r="E40" s="345">
        <f>IFERROR(VLOOKUP($B40,'[4]6-Hm Budget Total-FY21 (P&amp;L)'!$B$40:$O$117,4,FALSE),0)</f>
        <v>27.5</v>
      </c>
      <c r="F40" s="345">
        <f>IFERROR(VLOOKUP($B40,'[4]6-Hm Budget Total-FY21 (P&amp;L)'!$B$40:$O$117,5,FALSE),0)</f>
        <v>27.5</v>
      </c>
      <c r="G40" s="345">
        <f>IFERROR(VLOOKUP($B40,'[4]6-Hm Budget Total-FY21 (P&amp;L)'!$B$40:$O$117,6,FALSE),0)</f>
        <v>27.5</v>
      </c>
      <c r="H40" s="345">
        <f>IFERROR(VLOOKUP($B40,'[4]6-Hm Budget Total-FY21 (P&amp;L)'!$B$40:$O$117,7,FALSE),0)</f>
        <v>27.5</v>
      </c>
      <c r="I40" s="345">
        <f>IFERROR(VLOOKUP($B40,'[4]6-Hm Budget Total-FY21 (P&amp;L)'!$B$40:$O$117,8,FALSE),0)</f>
        <v>27.5</v>
      </c>
      <c r="J40" s="345">
        <f>IFERROR(VLOOKUP($B40,'[4]6-Hm Budget Total-FY21 (P&amp;L)'!$B$40:$O$117,9,FALSE),0)</f>
        <v>12.5</v>
      </c>
      <c r="K40" s="345">
        <f>IFERROR(VLOOKUP($B40,'[4]6-Hm Budget Total-FY21 (P&amp;L)'!$B$40:$O$117,10,FALSE),0)</f>
        <v>42.5</v>
      </c>
      <c r="L40" s="345">
        <f>IFERROR(VLOOKUP($B40,'[4]6-Hm Budget Total-FY21 (P&amp;L)'!$B$40:$O$117,11,FALSE),0)</f>
        <v>252.5</v>
      </c>
      <c r="M40" s="345">
        <f>IFERROR(VLOOKUP($B40,'[4]6-Hm Budget Total-FY21 (P&amp;L)'!$B$40:$O$117,12,FALSE),0)</f>
        <v>12.5</v>
      </c>
      <c r="N40" s="345">
        <f>IFERROR(VLOOKUP($B40,'[4]6-Hm Budget Total-FY21 (P&amp;L)'!$B$40:$O$117,13,FALSE),0)</f>
        <v>57.5</v>
      </c>
      <c r="O40" s="345">
        <f>IFERROR(VLOOKUP($B40,'[4]6-Hm Budget Total-FY21 (P&amp;L)'!$B$40:$O$117,14,FALSE),0)</f>
        <v>27.5</v>
      </c>
      <c r="P40" s="346">
        <f t="shared" si="2"/>
        <v>570</v>
      </c>
      <c r="Q40" s="345"/>
      <c r="R40" s="99"/>
      <c r="S40" s="348">
        <v>570</v>
      </c>
      <c r="T40" s="349">
        <v>195</v>
      </c>
      <c r="U40" s="351">
        <f>'[4]6-Hm Budget Total-FY21 (P&amp;L)'!T44</f>
        <v>501</v>
      </c>
      <c r="V40" s="351">
        <f>'[4]6-Hm FY21 Budget Variance (P&amp;L)'!G47</f>
        <v>501</v>
      </c>
    </row>
    <row r="41" spans="2:23" x14ac:dyDescent="0.2">
      <c r="B41" s="369" t="s">
        <v>296</v>
      </c>
      <c r="C41" s="363" t="s">
        <v>130</v>
      </c>
      <c r="D41" s="345">
        <f>IFERROR(VLOOKUP($B41,'[4]6-Hm Budget Total-FY21 (P&amp;L)'!$B$40:$O$117,3,FALSE),0)</f>
        <v>3066.6666666666665</v>
      </c>
      <c r="E41" s="345">
        <f>IFERROR(VLOOKUP($B41,'[4]6-Hm Budget Total-FY21 (P&amp;L)'!$B$40:$O$117,4,FALSE),0)</f>
        <v>3316.6666666666665</v>
      </c>
      <c r="F41" s="345">
        <f>IFERROR(VLOOKUP($B41,'[4]6-Hm Budget Total-FY21 (P&amp;L)'!$B$40:$O$117,5,FALSE),0)</f>
        <v>3066.6666666666665</v>
      </c>
      <c r="G41" s="345">
        <f>IFERROR(VLOOKUP($B41,'[4]6-Hm Budget Total-FY21 (P&amp;L)'!$B$40:$O$117,6,FALSE),0)</f>
        <v>3066.6666666666665</v>
      </c>
      <c r="H41" s="345">
        <f>IFERROR(VLOOKUP($B41,'[4]6-Hm Budget Total-FY21 (P&amp;L)'!$B$40:$O$117,7,FALSE),0)</f>
        <v>3066.6666666666665</v>
      </c>
      <c r="I41" s="345">
        <f>IFERROR(VLOOKUP($B41,'[4]6-Hm Budget Total-FY21 (P&amp;L)'!$B$40:$O$117,8,FALSE),0)</f>
        <v>3101.6666666666665</v>
      </c>
      <c r="J41" s="345">
        <f>IFERROR(VLOOKUP($B41,'[4]6-Hm Budget Total-FY21 (P&amp;L)'!$B$40:$O$117,9,FALSE),0)</f>
        <v>2991.6666666666665</v>
      </c>
      <c r="K41" s="345">
        <f>IFERROR(VLOOKUP($B41,'[4]6-Hm Budget Total-FY21 (P&amp;L)'!$B$40:$O$117,10,FALSE),0)</f>
        <v>2991.6666666666665</v>
      </c>
      <c r="L41" s="345">
        <f>IFERROR(VLOOKUP($B41,'[4]6-Hm Budget Total-FY21 (P&amp;L)'!$B$40:$O$117,11,FALSE),0)</f>
        <v>3400.3760416666664</v>
      </c>
      <c r="M41" s="345">
        <f>IFERROR(VLOOKUP($B41,'[4]6-Hm Budget Total-FY21 (P&amp;L)'!$B$40:$O$117,12,FALSE),0)</f>
        <v>3454.5372916666665</v>
      </c>
      <c r="N41" s="345">
        <f>IFERROR(VLOOKUP($B41,'[4]6-Hm Budget Total-FY21 (P&amp;L)'!$B$40:$O$117,13,FALSE),0)</f>
        <v>3538.3830729166666</v>
      </c>
      <c r="O41" s="345">
        <f>IFERROR(VLOOKUP($B41,'[4]6-Hm Budget Total-FY21 (P&amp;L)'!$B$40:$O$117,14,FALSE),0)</f>
        <v>3598.4847916666663</v>
      </c>
      <c r="P41" s="346">
        <f t="shared" si="2"/>
        <v>38661</v>
      </c>
      <c r="Q41" s="345"/>
      <c r="R41" s="99"/>
      <c r="S41" s="348">
        <v>40061</v>
      </c>
      <c r="T41" s="349">
        <v>31277</v>
      </c>
      <c r="U41" s="351">
        <f>'[4]6-Hm Budget Total-FY21 (P&amp;L)'!T45</f>
        <v>27633.61</v>
      </c>
      <c r="V41" s="351">
        <f>'[4]6-Hm FY21 Budget Variance (P&amp;L)'!G48</f>
        <v>31771.61</v>
      </c>
    </row>
    <row r="42" spans="2:23" x14ac:dyDescent="0.2">
      <c r="B42" s="368">
        <v>7356</v>
      </c>
      <c r="C42" s="363" t="s">
        <v>132</v>
      </c>
      <c r="D42" s="345">
        <f>IFERROR(VLOOKUP($B42,'[4]6-Hm Budget Total-FY21 (P&amp;L)'!$B$40:$O$117,3,FALSE),0)</f>
        <v>-515</v>
      </c>
      <c r="E42" s="345">
        <f>IFERROR(VLOOKUP($B42,'[4]6-Hm Budget Total-FY21 (P&amp;L)'!$B$40:$O$117,4,FALSE),0)</f>
        <v>25</v>
      </c>
      <c r="F42" s="345">
        <f>IFERROR(VLOOKUP($B42,'[4]6-Hm Budget Total-FY21 (P&amp;L)'!$B$40:$O$117,5,FALSE),0)</f>
        <v>0</v>
      </c>
      <c r="G42" s="345">
        <f>IFERROR(VLOOKUP($B42,'[4]6-Hm Budget Total-FY21 (P&amp;L)'!$B$40:$O$117,6,FALSE),0)</f>
        <v>500</v>
      </c>
      <c r="H42" s="345">
        <f>IFERROR(VLOOKUP($B42,'[4]6-Hm Budget Total-FY21 (P&amp;L)'!$B$40:$O$117,7,FALSE),0)</f>
        <v>25</v>
      </c>
      <c r="I42" s="345">
        <f>IFERROR(VLOOKUP($B42,'[4]6-Hm Budget Total-FY21 (P&amp;L)'!$B$40:$O$117,8,FALSE),0)</f>
        <v>25</v>
      </c>
      <c r="J42" s="345">
        <f>IFERROR(VLOOKUP($B42,'[4]6-Hm Budget Total-FY21 (P&amp;L)'!$B$40:$O$117,9,FALSE),0)</f>
        <v>0</v>
      </c>
      <c r="K42" s="345">
        <f>IFERROR(VLOOKUP($B42,'[4]6-Hm Budget Total-FY21 (P&amp;L)'!$B$40:$O$117,10,FALSE),0)</f>
        <v>25</v>
      </c>
      <c r="L42" s="345">
        <f>IFERROR(VLOOKUP($B42,'[4]6-Hm Budget Total-FY21 (P&amp;L)'!$B$40:$O$117,11,FALSE),0)</f>
        <v>1800</v>
      </c>
      <c r="M42" s="345">
        <f>IFERROR(VLOOKUP($B42,'[4]6-Hm Budget Total-FY21 (P&amp;L)'!$B$40:$O$117,12,FALSE),0)</f>
        <v>25</v>
      </c>
      <c r="N42" s="345">
        <f>IFERROR(VLOOKUP($B42,'[4]6-Hm Budget Total-FY21 (P&amp;L)'!$B$40:$O$117,13,FALSE),0)</f>
        <v>25</v>
      </c>
      <c r="O42" s="345">
        <f>IFERROR(VLOOKUP($B42,'[4]6-Hm Budget Total-FY21 (P&amp;L)'!$B$40:$O$117,14,FALSE),0)</f>
        <v>65</v>
      </c>
      <c r="P42" s="346">
        <f t="shared" si="2"/>
        <v>2000</v>
      </c>
      <c r="Q42" s="345"/>
      <c r="R42" s="99"/>
      <c r="S42" s="348">
        <v>2515</v>
      </c>
      <c r="T42" s="349">
        <v>1000</v>
      </c>
      <c r="U42" s="351">
        <f>'[4]6-Hm Budget Total-FY21 (P&amp;L)'!T46</f>
        <v>3729.19</v>
      </c>
      <c r="V42" s="351">
        <f>'[4]6-Hm FY21 Budget Variance (P&amp;L)'!G49</f>
        <v>3829.19</v>
      </c>
    </row>
    <row r="43" spans="2:23" x14ac:dyDescent="0.2">
      <c r="B43" s="268">
        <v>5105</v>
      </c>
      <c r="C43" s="363" t="s">
        <v>133</v>
      </c>
      <c r="D43" s="345">
        <f>IFERROR(VLOOKUP($B43,'[4]6-Hm Budget Total-FY21 (P&amp;L)'!$B$40:$O$117,3,FALSE),0)</f>
        <v>1458.3333333333333</v>
      </c>
      <c r="E43" s="345">
        <f>IFERROR(VLOOKUP($B43,'[4]6-Hm Budget Total-FY21 (P&amp;L)'!$B$40:$O$117,4,FALSE),0)</f>
        <v>1458.3333333333333</v>
      </c>
      <c r="F43" s="345">
        <f>IFERROR(VLOOKUP($B43,'[4]6-Hm Budget Total-FY21 (P&amp;L)'!$B$40:$O$117,5,FALSE),0)</f>
        <v>1458.3333333333333</v>
      </c>
      <c r="G43" s="345">
        <f>IFERROR(VLOOKUP($B43,'[4]6-Hm Budget Total-FY21 (P&amp;L)'!$B$40:$O$117,6,FALSE),0)</f>
        <v>1458.3333333333333</v>
      </c>
      <c r="H43" s="345">
        <f>IFERROR(VLOOKUP($B43,'[4]6-Hm Budget Total-FY21 (P&amp;L)'!$B$40:$O$117,7,FALSE),0)</f>
        <v>1458.3333333333333</v>
      </c>
      <c r="I43" s="345">
        <f>IFERROR(VLOOKUP($B43,'[4]6-Hm Budget Total-FY21 (P&amp;L)'!$B$40:$O$117,8,FALSE),0)</f>
        <v>1458.3333333333333</v>
      </c>
      <c r="J43" s="345">
        <f>IFERROR(VLOOKUP($B43,'[4]6-Hm Budget Total-FY21 (P&amp;L)'!$B$40:$O$117,9,FALSE),0)</f>
        <v>1458.3333333333333</v>
      </c>
      <c r="K43" s="345">
        <f>IFERROR(VLOOKUP($B43,'[4]6-Hm Budget Total-FY21 (P&amp;L)'!$B$40:$O$117,10,FALSE),0)</f>
        <v>1458.3333333333333</v>
      </c>
      <c r="L43" s="345">
        <f>IFERROR(VLOOKUP($B43,'[4]6-Hm Budget Total-FY21 (P&amp;L)'!$B$40:$O$117,11,FALSE),0)</f>
        <v>2658.333333333333</v>
      </c>
      <c r="M43" s="345">
        <f>IFERROR(VLOOKUP($B43,'[4]6-Hm Budget Total-FY21 (P&amp;L)'!$B$40:$O$117,12,FALSE),0)</f>
        <v>2658.333333333333</v>
      </c>
      <c r="N43" s="345">
        <f>IFERROR(VLOOKUP($B43,'[4]6-Hm Budget Total-FY21 (P&amp;L)'!$B$40:$O$117,13,FALSE),0)</f>
        <v>2658.333333333333</v>
      </c>
      <c r="O43" s="345">
        <f>IFERROR(VLOOKUP($B43,'[4]6-Hm Budget Total-FY21 (P&amp;L)'!$B$40:$O$117,14,FALSE),0)</f>
        <v>2658.333333333333</v>
      </c>
      <c r="P43" s="357">
        <f t="shared" si="2"/>
        <v>22300</v>
      </c>
      <c r="Q43" s="345"/>
      <c r="R43" s="99"/>
      <c r="S43" s="348">
        <v>22300</v>
      </c>
      <c r="T43" s="349">
        <v>17225</v>
      </c>
      <c r="U43" s="351">
        <f>'[4]6-Hm Budget Total-FY21 (P&amp;L)'!T47</f>
        <v>13452.99</v>
      </c>
      <c r="V43" s="351">
        <f>'[4]6-Hm FY21 Budget Variance (P&amp;L)'!G50</f>
        <v>16252.99</v>
      </c>
    </row>
    <row r="44" spans="2:23" x14ac:dyDescent="0.2">
      <c r="B44" s="368">
        <v>5361</v>
      </c>
      <c r="C44" s="363" t="s">
        <v>135</v>
      </c>
      <c r="D44" s="345">
        <f>IFERROR(VLOOKUP($B44,'[4]6-Hm Budget Total-FY21 (P&amp;L)'!$B$40:$O$117,3,FALSE),0)</f>
        <v>4166.666666666667</v>
      </c>
      <c r="E44" s="345">
        <f>IFERROR(VLOOKUP($B44,'[4]6-Hm Budget Total-FY21 (P&amp;L)'!$B$40:$O$117,4,FALSE),0)</f>
        <v>4166.666666666667</v>
      </c>
      <c r="F44" s="345">
        <f>IFERROR(VLOOKUP($B44,'[4]6-Hm Budget Total-FY21 (P&amp;L)'!$B$40:$O$117,5,FALSE),0)</f>
        <v>4166.666666666667</v>
      </c>
      <c r="G44" s="345">
        <f>IFERROR(VLOOKUP($B44,'[4]6-Hm Budget Total-FY21 (P&amp;L)'!$B$40:$O$117,6,FALSE),0)</f>
        <v>4166.666666666667</v>
      </c>
      <c r="H44" s="345">
        <f>IFERROR(VLOOKUP($B44,'[4]6-Hm Budget Total-FY21 (P&amp;L)'!$B$40:$O$117,7,FALSE),0)</f>
        <v>4166.666666666667</v>
      </c>
      <c r="I44" s="345">
        <f>IFERROR(VLOOKUP($B44,'[4]6-Hm Budget Total-FY21 (P&amp;L)'!$B$40:$O$117,8,FALSE),0)</f>
        <v>4166.666666666667</v>
      </c>
      <c r="J44" s="345">
        <f>IFERROR(VLOOKUP($B44,'[4]6-Hm Budget Total-FY21 (P&amp;L)'!$B$40:$O$117,9,FALSE),0)</f>
        <v>4166.666666666667</v>
      </c>
      <c r="K44" s="345">
        <f>IFERROR(VLOOKUP($B44,'[4]6-Hm Budget Total-FY21 (P&amp;L)'!$B$40:$O$117,10,FALSE),0)</f>
        <v>4166.666666666667</v>
      </c>
      <c r="L44" s="345">
        <f>IFERROR(VLOOKUP($B44,'[4]6-Hm Budget Total-FY21 (P&amp;L)'!$B$40:$O$117,11,FALSE),0)</f>
        <v>4166.666666666667</v>
      </c>
      <c r="M44" s="345">
        <f>IFERROR(VLOOKUP($B44,'[4]6-Hm Budget Total-FY21 (P&amp;L)'!$B$40:$O$117,12,FALSE),0)</f>
        <v>4166.666666666667</v>
      </c>
      <c r="N44" s="345">
        <f>IFERROR(VLOOKUP($B44,'[4]6-Hm Budget Total-FY21 (P&amp;L)'!$B$40:$O$117,13,FALSE),0)</f>
        <v>4166.666666666667</v>
      </c>
      <c r="O44" s="345">
        <f>IFERROR(VLOOKUP($B44,'[4]6-Hm Budget Total-FY21 (P&amp;L)'!$B$40:$O$117,14,FALSE),0)</f>
        <v>4416.666666666667</v>
      </c>
      <c r="P44" s="476">
        <f>(ROUNDUP(SUM(D44:O44),0))-18000</f>
        <v>32250</v>
      </c>
      <c r="Q44" s="345"/>
      <c r="R44" s="99"/>
      <c r="S44" s="348">
        <v>50250</v>
      </c>
      <c r="T44" s="349">
        <v>8000</v>
      </c>
      <c r="U44" s="351">
        <f>'[4]6-Hm Budget Total-FY21 (P&amp;L)'!T48</f>
        <v>2287.59</v>
      </c>
      <c r="V44" s="351">
        <f>'[4]6-Hm FY21 Budget Variance (P&amp;L)'!G51</f>
        <v>2287.59</v>
      </c>
    </row>
    <row r="45" spans="2:23" x14ac:dyDescent="0.2">
      <c r="B45" s="368">
        <v>5572</v>
      </c>
      <c r="C45" s="363" t="s">
        <v>297</v>
      </c>
      <c r="D45" s="345"/>
      <c r="E45" s="345"/>
      <c r="F45" s="345"/>
      <c r="G45" s="345"/>
      <c r="H45" s="345"/>
      <c r="I45" s="345"/>
      <c r="J45" s="345"/>
      <c r="K45" s="345"/>
      <c r="L45" s="345"/>
      <c r="M45" s="345"/>
      <c r="N45" s="345"/>
      <c r="O45" s="345"/>
      <c r="P45" s="346">
        <v>0</v>
      </c>
      <c r="Q45" s="345"/>
      <c r="R45" s="99"/>
      <c r="S45" s="348"/>
      <c r="T45" s="349">
        <v>0</v>
      </c>
      <c r="U45" s="351">
        <v>-34.869999999999997</v>
      </c>
      <c r="V45" s="351">
        <v>-9.8699999999999992</v>
      </c>
    </row>
    <row r="46" spans="2:23" x14ac:dyDescent="0.2">
      <c r="B46" s="268">
        <v>5204</v>
      </c>
      <c r="C46" s="104" t="s">
        <v>137</v>
      </c>
      <c r="D46" s="345">
        <f>IFERROR(VLOOKUP($B46,'[4]6-Hm Budget Total-FY21 (P&amp;L)'!$B$40:$O$117,3,FALSE),0)</f>
        <v>114</v>
      </c>
      <c r="E46" s="345">
        <f>IFERROR(VLOOKUP($B46,'[4]6-Hm Budget Total-FY21 (P&amp;L)'!$B$40:$O$117,4,FALSE),0)</f>
        <v>3100</v>
      </c>
      <c r="F46" s="345">
        <f>IFERROR(VLOOKUP($B46,'[4]6-Hm Budget Total-FY21 (P&amp;L)'!$B$40:$O$117,5,FALSE),0)</f>
        <v>100</v>
      </c>
      <c r="G46" s="345">
        <f>IFERROR(VLOOKUP($B46,'[4]6-Hm Budget Total-FY21 (P&amp;L)'!$B$40:$O$117,6,FALSE),0)</f>
        <v>0</v>
      </c>
      <c r="H46" s="345">
        <f>IFERROR(VLOOKUP($B46,'[4]6-Hm Budget Total-FY21 (P&amp;L)'!$B$40:$O$117,7,FALSE),0)</f>
        <v>0</v>
      </c>
      <c r="I46" s="345">
        <f>IFERROR(VLOOKUP($B46,'[4]6-Hm Budget Total-FY21 (P&amp;L)'!$B$40:$O$117,8,FALSE),0)</f>
        <v>1507</v>
      </c>
      <c r="J46" s="345">
        <f>IFERROR(VLOOKUP($B46,'[4]6-Hm Budget Total-FY21 (P&amp;L)'!$B$40:$O$117,9,FALSE),0)</f>
        <v>1500</v>
      </c>
      <c r="K46" s="345">
        <f>IFERROR(VLOOKUP($B46,'[4]6-Hm Budget Total-FY21 (P&amp;L)'!$B$40:$O$117,10,FALSE),0)</f>
        <v>14</v>
      </c>
      <c r="L46" s="345">
        <f>IFERROR(VLOOKUP($B46,'[4]6-Hm Budget Total-FY21 (P&amp;L)'!$B$40:$O$117,11,FALSE),0)</f>
        <v>0</v>
      </c>
      <c r="M46" s="345">
        <f>IFERROR(VLOOKUP($B46,'[4]6-Hm Budget Total-FY21 (P&amp;L)'!$B$40:$O$117,12,FALSE),0)</f>
        <v>1500</v>
      </c>
      <c r="N46" s="345">
        <f>IFERROR(VLOOKUP($B46,'[4]6-Hm Budget Total-FY21 (P&amp;L)'!$B$40:$O$117,13,FALSE),0)</f>
        <v>114</v>
      </c>
      <c r="O46" s="345">
        <f>IFERROR(VLOOKUP($B46,'[4]6-Hm Budget Total-FY21 (P&amp;L)'!$B$40:$O$117,14,FALSE),0)</f>
        <v>3000</v>
      </c>
      <c r="P46" s="476">
        <f t="shared" si="2"/>
        <v>10949</v>
      </c>
      <c r="Q46" s="345" t="s">
        <v>459</v>
      </c>
      <c r="R46" s="99"/>
      <c r="S46" s="348">
        <v>9449</v>
      </c>
      <c r="T46" s="349">
        <v>10640</v>
      </c>
      <c r="U46" s="351">
        <f>'[4]6-Hm Budget Total-FY21 (P&amp;L)'!T50</f>
        <v>9800.7999999999993</v>
      </c>
      <c r="V46" s="351">
        <f>'[4]6-Hm FY21 Budget Variance (P&amp;L)'!G53</f>
        <v>13300.8</v>
      </c>
    </row>
    <row r="47" spans="2:23" x14ac:dyDescent="0.2">
      <c r="B47" s="369" t="s">
        <v>298</v>
      </c>
      <c r="C47" s="363" t="s">
        <v>139</v>
      </c>
      <c r="D47" s="345">
        <f>IFERROR(VLOOKUP($B47,'[4]6-Hm Budget Total-FY21 (P&amp;L)'!$B$40:$O$117,3,FALSE),0)</f>
        <v>2872.6333333333332</v>
      </c>
      <c r="E47" s="345">
        <f>IFERROR(VLOOKUP($B47,'[4]6-Hm Budget Total-FY21 (P&amp;L)'!$B$40:$O$117,4,FALSE),0)</f>
        <v>1577.6333333333334</v>
      </c>
      <c r="F47" s="345">
        <f>IFERROR(VLOOKUP($B47,'[4]6-Hm Budget Total-FY21 (P&amp;L)'!$B$40:$O$117,5,FALSE),0)</f>
        <v>2622.6333333333332</v>
      </c>
      <c r="G47" s="345">
        <f>IFERROR(VLOOKUP($B47,'[4]6-Hm Budget Total-FY21 (P&amp;L)'!$B$40:$O$117,6,FALSE),0)</f>
        <v>1777.6333333333334</v>
      </c>
      <c r="H47" s="345">
        <f>IFERROR(VLOOKUP($B47,'[4]6-Hm Budget Total-FY21 (P&amp;L)'!$B$40:$O$117,7,FALSE),0)</f>
        <v>2357.6333333333332</v>
      </c>
      <c r="I47" s="345">
        <f>IFERROR(VLOOKUP($B47,'[4]6-Hm Budget Total-FY21 (P&amp;L)'!$B$40:$O$117,8,FALSE),0)</f>
        <v>1682.6333333333334</v>
      </c>
      <c r="J47" s="345">
        <f>IFERROR(VLOOKUP($B47,'[4]6-Hm Budget Total-FY21 (P&amp;L)'!$B$40:$O$117,9,FALSE),0)</f>
        <v>1912.6333333333334</v>
      </c>
      <c r="K47" s="345">
        <f>IFERROR(VLOOKUP($B47,'[4]6-Hm Budget Total-FY21 (P&amp;L)'!$B$40:$O$117,10,FALSE),0)</f>
        <v>3517.6333333333332</v>
      </c>
      <c r="L47" s="345">
        <f>IFERROR(VLOOKUP($B47,'[4]6-Hm Budget Total-FY21 (P&amp;L)'!$B$40:$O$117,11,FALSE),0)</f>
        <v>19942.633333333331</v>
      </c>
      <c r="M47" s="345">
        <f>IFERROR(VLOOKUP($B47,'[4]6-Hm Budget Total-FY21 (P&amp;L)'!$B$40:$O$117,12,FALSE),0)</f>
        <v>4812.6333333333332</v>
      </c>
      <c r="N47" s="345">
        <f>IFERROR(VLOOKUP($B47,'[4]6-Hm Budget Total-FY21 (P&amp;L)'!$B$40:$O$117,13,FALSE),0)</f>
        <v>-407.36666666666662</v>
      </c>
      <c r="O47" s="345">
        <f>IFERROR(VLOOKUP($B47,'[4]6-Hm Budget Total-FY21 (P&amp;L)'!$B$40:$O$117,14,FALSE),0)</f>
        <v>-4372.3666666666668</v>
      </c>
      <c r="P47" s="357">
        <f t="shared" si="2"/>
        <v>38297</v>
      </c>
      <c r="Q47" s="345"/>
      <c r="R47" s="99"/>
      <c r="S47" s="348">
        <v>44912</v>
      </c>
      <c r="T47" s="349">
        <v>22200</v>
      </c>
      <c r="U47" s="351">
        <f>'[4]6-Hm Budget Total-FY21 (P&amp;L)'!T51</f>
        <v>15710.199999999999</v>
      </c>
      <c r="V47" s="351">
        <f>'[4]6-Hm FY21 Budget Variance (P&amp;L)'!G54</f>
        <v>15710.199999999999</v>
      </c>
    </row>
    <row r="48" spans="2:23" x14ac:dyDescent="0.2">
      <c r="B48" s="368">
        <v>5571</v>
      </c>
      <c r="C48" s="370" t="s">
        <v>140</v>
      </c>
      <c r="D48" s="345">
        <f>IFERROR(VLOOKUP($B48,'[4]6-Hm Budget Total-FY21 (P&amp;L)'!$B$40:$O$117,3,FALSE),0)</f>
        <v>2500</v>
      </c>
      <c r="E48" s="345">
        <f>IFERROR(VLOOKUP($B48,'[4]6-Hm Budget Total-FY21 (P&amp;L)'!$B$40:$O$117,4,FALSE),0)</f>
        <v>2500</v>
      </c>
      <c r="F48" s="345">
        <f>IFERROR(VLOOKUP($B48,'[4]6-Hm Budget Total-FY21 (P&amp;L)'!$B$40:$O$117,5,FALSE),0)</f>
        <v>2500</v>
      </c>
      <c r="G48" s="345">
        <f>IFERROR(VLOOKUP($B48,'[4]6-Hm Budget Total-FY21 (P&amp;L)'!$B$40:$O$117,6,FALSE),0)</f>
        <v>2500</v>
      </c>
      <c r="H48" s="345">
        <f>IFERROR(VLOOKUP($B48,'[4]6-Hm Budget Total-FY21 (P&amp;L)'!$B$40:$O$117,7,FALSE),0)</f>
        <v>2500</v>
      </c>
      <c r="I48" s="345">
        <f>IFERROR(VLOOKUP($B48,'[4]6-Hm Budget Total-FY21 (P&amp;L)'!$B$40:$O$117,8,FALSE),0)</f>
        <v>2500</v>
      </c>
      <c r="J48" s="345">
        <f>IFERROR(VLOOKUP($B48,'[4]6-Hm Budget Total-FY21 (P&amp;L)'!$B$40:$O$117,9,FALSE),0)</f>
        <v>2500</v>
      </c>
      <c r="K48" s="345">
        <f>IFERROR(VLOOKUP($B48,'[4]6-Hm Budget Total-FY21 (P&amp;L)'!$B$40:$O$117,10,FALSE),0)</f>
        <v>2500</v>
      </c>
      <c r="L48" s="345">
        <f>IFERROR(VLOOKUP($B48,'[4]6-Hm Budget Total-FY21 (P&amp;L)'!$B$40:$O$117,11,FALSE),0)</f>
        <v>2500</v>
      </c>
      <c r="M48" s="345">
        <f>IFERROR(VLOOKUP($B48,'[4]6-Hm Budget Total-FY21 (P&amp;L)'!$B$40:$O$117,12,FALSE),0)</f>
        <v>2500</v>
      </c>
      <c r="N48" s="345">
        <f>IFERROR(VLOOKUP($B48,'[4]6-Hm Budget Total-FY21 (P&amp;L)'!$B$40:$O$117,13,FALSE),0)</f>
        <v>2500</v>
      </c>
      <c r="O48" s="345">
        <f>IFERROR(VLOOKUP($B48,'[4]6-Hm Budget Total-FY21 (P&amp;L)'!$B$40:$O$117,14,FALSE),0)</f>
        <v>2500</v>
      </c>
      <c r="P48" s="357">
        <f t="shared" si="2"/>
        <v>30000</v>
      </c>
      <c r="Q48" s="345"/>
      <c r="R48" s="99"/>
      <c r="S48" s="348">
        <v>30000</v>
      </c>
      <c r="T48" s="349">
        <v>30000</v>
      </c>
      <c r="U48" s="351">
        <f>'[4]6-Hm Budget Total-FY21 (P&amp;L)'!T52</f>
        <v>19768.8</v>
      </c>
      <c r="V48" s="351">
        <f>'[4]6-Hm FY21 Budget Variance (P&amp;L)'!G55</f>
        <v>21768.799999999999</v>
      </c>
    </row>
    <row r="49" spans="2:22" x14ac:dyDescent="0.2">
      <c r="B49" s="268">
        <v>5118</v>
      </c>
      <c r="C49" s="363" t="s">
        <v>299</v>
      </c>
      <c r="D49" s="345">
        <f>IFERROR(VLOOKUP($B49,'[4]6-Hm Budget Total-FY21 (P&amp;L)'!$B$40:$O$117,3,FALSE),0)</f>
        <v>600</v>
      </c>
      <c r="E49" s="345">
        <f>IFERROR(VLOOKUP($B49,'[4]6-Hm Budget Total-FY21 (P&amp;L)'!$B$40:$O$117,4,FALSE),0)</f>
        <v>1100</v>
      </c>
      <c r="F49" s="345">
        <f>IFERROR(VLOOKUP($B49,'[4]6-Hm Budget Total-FY21 (P&amp;L)'!$B$40:$O$117,5,FALSE),0)</f>
        <v>3100</v>
      </c>
      <c r="G49" s="345">
        <f>IFERROR(VLOOKUP($B49,'[4]6-Hm Budget Total-FY21 (P&amp;L)'!$B$40:$O$117,6,FALSE),0)</f>
        <v>600</v>
      </c>
      <c r="H49" s="345">
        <f>IFERROR(VLOOKUP($B49,'[4]6-Hm Budget Total-FY21 (P&amp;L)'!$B$40:$O$117,7,FALSE),0)</f>
        <v>600</v>
      </c>
      <c r="I49" s="345">
        <f>IFERROR(VLOOKUP($B49,'[4]6-Hm Budget Total-FY21 (P&amp;L)'!$B$40:$O$117,8,FALSE),0)</f>
        <v>600</v>
      </c>
      <c r="J49" s="345">
        <f>IFERROR(VLOOKUP($B49,'[4]6-Hm Budget Total-FY21 (P&amp;L)'!$B$40:$O$117,9,FALSE),0)</f>
        <v>600</v>
      </c>
      <c r="K49" s="345">
        <f>IFERROR(VLOOKUP($B49,'[4]6-Hm Budget Total-FY21 (P&amp;L)'!$B$40:$O$117,10,FALSE),0)</f>
        <v>600</v>
      </c>
      <c r="L49" s="345">
        <f>IFERROR(VLOOKUP($B49,'[4]6-Hm Budget Total-FY21 (P&amp;L)'!$B$40:$O$117,11,FALSE),0)</f>
        <v>600</v>
      </c>
      <c r="M49" s="345">
        <f>IFERROR(VLOOKUP($B49,'[4]6-Hm Budget Total-FY21 (P&amp;L)'!$B$40:$O$117,12,FALSE),0)</f>
        <v>600</v>
      </c>
      <c r="N49" s="345">
        <f>IFERROR(VLOOKUP($B49,'[4]6-Hm Budget Total-FY21 (P&amp;L)'!$B$40:$O$117,13,FALSE),0)</f>
        <v>600</v>
      </c>
      <c r="O49" s="345">
        <f>IFERROR(VLOOKUP($B49,'[4]6-Hm Budget Total-FY21 (P&amp;L)'!$B$40:$O$117,14,FALSE),0)</f>
        <v>600</v>
      </c>
      <c r="P49" s="346">
        <f t="shared" si="2"/>
        <v>10200</v>
      </c>
      <c r="Q49" s="345"/>
      <c r="R49" s="99"/>
      <c r="S49" s="348">
        <v>10200</v>
      </c>
      <c r="T49" s="349">
        <v>1500</v>
      </c>
      <c r="U49" s="351">
        <f>'[4]6-Hm Budget Total-FY21 (P&amp;L)'!T53</f>
        <v>7483.74</v>
      </c>
      <c r="V49" s="351">
        <f>'[4]6-Hm FY21 Budget Variance (P&amp;L)'!G56</f>
        <v>8233.74</v>
      </c>
    </row>
    <row r="50" spans="2:22" x14ac:dyDescent="0.2">
      <c r="B50" s="268">
        <v>5117</v>
      </c>
      <c r="C50" s="363" t="s">
        <v>460</v>
      </c>
      <c r="D50" s="345">
        <f>'[4]6-Hm Budget Total-FY21 (P&amp;L)'!D54</f>
        <v>0</v>
      </c>
      <c r="E50" s="345">
        <f>'[4]6-Hm Budget Total-FY21 (P&amp;L)'!E54</f>
        <v>0</v>
      </c>
      <c r="F50" s="345">
        <f>'[4]6-Hm Budget Total-FY21 (P&amp;L)'!F54</f>
        <v>0</v>
      </c>
      <c r="G50" s="345">
        <f>'[4]6-Hm Budget Total-FY21 (P&amp;L)'!G54</f>
        <v>0</v>
      </c>
      <c r="H50" s="345">
        <f>'[4]6-Hm Budget Total-FY21 (P&amp;L)'!H54</f>
        <v>0</v>
      </c>
      <c r="I50" s="345">
        <f>'[4]6-Hm Budget Total-FY21 (P&amp;L)'!I54</f>
        <v>0</v>
      </c>
      <c r="J50" s="345">
        <f>'[4]6-Hm Budget Total-FY21 (P&amp;L)'!J54</f>
        <v>0</v>
      </c>
      <c r="K50" s="345">
        <f>'[4]6-Hm Budget Total-FY21 (P&amp;L)'!K54</f>
        <v>0</v>
      </c>
      <c r="L50" s="345">
        <f>'[4]6-Hm Budget Total-FY21 (P&amp;L)'!L54</f>
        <v>0</v>
      </c>
      <c r="M50" s="345">
        <f>'[4]6-Hm Budget Total-FY21 (P&amp;L)'!M54</f>
        <v>0</v>
      </c>
      <c r="N50" s="345">
        <f>'[4]6-Hm Budget Total-FY21 (P&amp;L)'!N54</f>
        <v>0</v>
      </c>
      <c r="O50" s="345">
        <f>'[4]6-Hm Budget Total-FY21 (P&amp;L)'!O54</f>
        <v>0</v>
      </c>
      <c r="P50" s="346">
        <f t="shared" si="2"/>
        <v>0</v>
      </c>
      <c r="Q50" s="345"/>
      <c r="R50" s="99"/>
      <c r="S50" s="348">
        <v>0</v>
      </c>
      <c r="T50" s="349">
        <v>0</v>
      </c>
      <c r="U50" s="351">
        <f>'[4]6-Hm Budget Total-FY21 (P&amp;L)'!T54</f>
        <v>391.65</v>
      </c>
      <c r="V50" s="351">
        <f>'[4]6-Hm FY21 Budget Variance (P&amp;L)'!G57</f>
        <v>391.65</v>
      </c>
    </row>
    <row r="51" spans="2:22" x14ac:dyDescent="0.2">
      <c r="B51" s="268">
        <v>5123</v>
      </c>
      <c r="C51" s="363" t="s">
        <v>301</v>
      </c>
      <c r="D51" s="345">
        <f>IFERROR(VLOOKUP($B51,'[4]6-Hm Budget Total-FY21 (P&amp;L)'!$B$40:$O$117,3,FALSE),0)</f>
        <v>10000</v>
      </c>
      <c r="E51" s="345">
        <f>IFERROR(VLOOKUP($B51,'[4]6-Hm Budget Total-FY21 (P&amp;L)'!$B$40:$O$117,4,FALSE),0)</f>
        <v>2500</v>
      </c>
      <c r="F51" s="345">
        <f>IFERROR(VLOOKUP($B51,'[4]6-Hm Budget Total-FY21 (P&amp;L)'!$B$40:$O$117,5,FALSE),0)</f>
        <v>10000</v>
      </c>
      <c r="G51" s="345">
        <f>IFERROR(VLOOKUP($B51,'[4]6-Hm Budget Total-FY21 (P&amp;L)'!$B$40:$O$117,6,FALSE),0)</f>
        <v>2500</v>
      </c>
      <c r="H51" s="345">
        <f>IFERROR(VLOOKUP($B51,'[4]6-Hm Budget Total-FY21 (P&amp;L)'!$B$40:$O$117,7,FALSE),0)</f>
        <v>0</v>
      </c>
      <c r="I51" s="345">
        <f>IFERROR(VLOOKUP($B51,'[4]6-Hm Budget Total-FY21 (P&amp;L)'!$B$40:$O$117,8,FALSE),0)</f>
        <v>0</v>
      </c>
      <c r="J51" s="345">
        <f>IFERROR(VLOOKUP($B51,'[4]6-Hm Budget Total-FY21 (P&amp;L)'!$B$40:$O$117,9,FALSE),0)</f>
        <v>0</v>
      </c>
      <c r="K51" s="345">
        <f>IFERROR(VLOOKUP($B51,'[4]6-Hm Budget Total-FY21 (P&amp;L)'!$B$40:$O$117,10,FALSE),0)</f>
        <v>0</v>
      </c>
      <c r="L51" s="345">
        <f>IFERROR(VLOOKUP($B51,'[4]6-Hm Budget Total-FY21 (P&amp;L)'!$B$40:$O$117,11,FALSE),0)</f>
        <v>0</v>
      </c>
      <c r="M51" s="345">
        <f>IFERROR(VLOOKUP($B51,'[4]6-Hm Budget Total-FY21 (P&amp;L)'!$B$40:$O$117,12,FALSE),0)</f>
        <v>0</v>
      </c>
      <c r="N51" s="345">
        <f>IFERROR(VLOOKUP($B51,'[4]6-Hm Budget Total-FY21 (P&amp;L)'!$B$40:$O$117,13,FALSE),0)</f>
        <v>10000</v>
      </c>
      <c r="O51" s="345">
        <f>IFERROR(VLOOKUP($B51,'[4]6-Hm Budget Total-FY21 (P&amp;L)'!$B$40:$O$117,14,FALSE),0)</f>
        <v>2500</v>
      </c>
      <c r="P51" s="346">
        <f t="shared" si="2"/>
        <v>37500</v>
      </c>
      <c r="Q51" s="345"/>
      <c r="R51" s="99"/>
      <c r="S51" s="348">
        <v>37500</v>
      </c>
      <c r="T51" s="349">
        <v>7500</v>
      </c>
      <c r="U51" s="351">
        <f>'[4]6-Hm Budget Total-FY21 (P&amp;L)'!T57</f>
        <v>4162.92</v>
      </c>
      <c r="V51" s="351">
        <f>'[4]6-Hm FY21 Budget Variance (P&amp;L)'!G60</f>
        <v>8162.92</v>
      </c>
    </row>
    <row r="52" spans="2:22" x14ac:dyDescent="0.2">
      <c r="B52" s="369">
        <v>5206</v>
      </c>
      <c r="C52" s="363" t="s">
        <v>147</v>
      </c>
      <c r="D52" s="345">
        <f>IFERROR(VLOOKUP($B52,'[4]6-Hm Budget Total-FY21 (P&amp;L)'!$B$40:$O$117,3,FALSE),0)</f>
        <v>52</v>
      </c>
      <c r="E52" s="345">
        <f>IFERROR(VLOOKUP($B52,'[4]6-Hm Budget Total-FY21 (P&amp;L)'!$B$40:$O$117,4,FALSE),0)</f>
        <v>0</v>
      </c>
      <c r="F52" s="345">
        <f>IFERROR(VLOOKUP($B52,'[4]6-Hm Budget Total-FY21 (P&amp;L)'!$B$40:$O$117,5,FALSE),0)</f>
        <v>0</v>
      </c>
      <c r="G52" s="345">
        <f>IFERROR(VLOOKUP($B52,'[4]6-Hm Budget Total-FY21 (P&amp;L)'!$B$40:$O$117,6,FALSE),0)</f>
        <v>0</v>
      </c>
      <c r="H52" s="345">
        <f>IFERROR(VLOOKUP($B52,'[4]6-Hm Budget Total-FY21 (P&amp;L)'!$B$40:$O$117,7,FALSE),0)</f>
        <v>26</v>
      </c>
      <c r="I52" s="345">
        <f>IFERROR(VLOOKUP($B52,'[4]6-Hm Budget Total-FY21 (P&amp;L)'!$B$40:$O$117,8,FALSE),0)</f>
        <v>26</v>
      </c>
      <c r="J52" s="345">
        <f>IFERROR(VLOOKUP($B52,'[4]6-Hm Budget Total-FY21 (P&amp;L)'!$B$40:$O$117,9,FALSE),0)</f>
        <v>825</v>
      </c>
      <c r="K52" s="345">
        <f>IFERROR(VLOOKUP($B52,'[4]6-Hm Budget Total-FY21 (P&amp;L)'!$B$40:$O$117,10,FALSE),0)</f>
        <v>56</v>
      </c>
      <c r="L52" s="345">
        <f>IFERROR(VLOOKUP($B52,'[4]6-Hm Budget Total-FY21 (P&amp;L)'!$B$40:$O$117,11,FALSE),0)</f>
        <v>26</v>
      </c>
      <c r="M52" s="345">
        <f>IFERROR(VLOOKUP($B52,'[4]6-Hm Budget Total-FY21 (P&amp;L)'!$B$40:$O$117,12,FALSE),0)</f>
        <v>0</v>
      </c>
      <c r="N52" s="345">
        <f>IFERROR(VLOOKUP($B52,'[4]6-Hm Budget Total-FY21 (P&amp;L)'!$B$40:$O$117,13,FALSE),0)</f>
        <v>56</v>
      </c>
      <c r="O52" s="345">
        <f>IFERROR(VLOOKUP($B52,'[4]6-Hm Budget Total-FY21 (P&amp;L)'!$B$40:$O$117,14,FALSE),0)</f>
        <v>0</v>
      </c>
      <c r="P52" s="346">
        <f t="shared" si="2"/>
        <v>1067</v>
      </c>
      <c r="Q52" s="345"/>
      <c r="R52" s="99"/>
      <c r="S52" s="348">
        <v>1067</v>
      </c>
      <c r="T52" s="349">
        <v>1665</v>
      </c>
      <c r="U52" s="351">
        <f>'[4]6-Hm Budget Total-FY21 (P&amp;L)'!T58</f>
        <v>1323.25</v>
      </c>
      <c r="V52" s="351">
        <f>'[4]6-Hm FY21 Budget Variance (P&amp;L)'!G61</f>
        <v>1373.25</v>
      </c>
    </row>
    <row r="53" spans="2:22" ht="11.7" customHeight="1" x14ac:dyDescent="0.2">
      <c r="B53" s="268">
        <v>5210</v>
      </c>
      <c r="C53" s="363" t="s">
        <v>148</v>
      </c>
      <c r="D53" s="345">
        <f>IFERROR(VLOOKUP($B53,'[4]6-Hm Budget Total-FY21 (P&amp;L)'!$B$40:$O$117,3,FALSE),0)</f>
        <v>0</v>
      </c>
      <c r="E53" s="345">
        <f>IFERROR(VLOOKUP($B53,'[4]6-Hm Budget Total-FY21 (P&amp;L)'!$B$40:$O$117,4,FALSE),0)</f>
        <v>0</v>
      </c>
      <c r="F53" s="345">
        <f>IFERROR(VLOOKUP($B53,'[4]6-Hm Budget Total-FY21 (P&amp;L)'!$B$40:$O$117,5,FALSE),0)</f>
        <v>600</v>
      </c>
      <c r="G53" s="345">
        <f>IFERROR(VLOOKUP($B53,'[4]6-Hm Budget Total-FY21 (P&amp;L)'!$B$40:$O$117,6,FALSE),0)</f>
        <v>40</v>
      </c>
      <c r="H53" s="345">
        <f>IFERROR(VLOOKUP($B53,'[4]6-Hm Budget Total-FY21 (P&amp;L)'!$B$40:$O$117,7,FALSE),0)</f>
        <v>40</v>
      </c>
      <c r="I53" s="345">
        <f>IFERROR(VLOOKUP($B53,'[4]6-Hm Budget Total-FY21 (P&amp;L)'!$B$40:$O$117,8,FALSE),0)</f>
        <v>190</v>
      </c>
      <c r="J53" s="345">
        <f>IFERROR(VLOOKUP($B53,'[4]6-Hm Budget Total-FY21 (P&amp;L)'!$B$40:$O$117,9,FALSE),0)</f>
        <v>540</v>
      </c>
      <c r="K53" s="345">
        <f>IFERROR(VLOOKUP($B53,'[4]6-Hm Budget Total-FY21 (P&amp;L)'!$B$40:$O$117,10,FALSE),0)</f>
        <v>0</v>
      </c>
      <c r="L53" s="345">
        <f>IFERROR(VLOOKUP($B53,'[4]6-Hm Budget Total-FY21 (P&amp;L)'!$B$40:$O$117,11,FALSE),0)</f>
        <v>100</v>
      </c>
      <c r="M53" s="345">
        <f>IFERROR(VLOOKUP($B53,'[4]6-Hm Budget Total-FY21 (P&amp;L)'!$B$40:$O$117,12,FALSE),0)</f>
        <v>50</v>
      </c>
      <c r="N53" s="345">
        <f>IFERROR(VLOOKUP($B53,'[4]6-Hm Budget Total-FY21 (P&amp;L)'!$B$40:$O$117,13,FALSE),0)</f>
        <v>0</v>
      </c>
      <c r="O53" s="345">
        <f>IFERROR(VLOOKUP($B53,'[4]6-Hm Budget Total-FY21 (P&amp;L)'!$B$40:$O$117,14,FALSE),0)</f>
        <v>1000</v>
      </c>
      <c r="P53" s="346">
        <f t="shared" si="2"/>
        <v>2560</v>
      </c>
      <c r="Q53" s="345"/>
      <c r="R53" s="99">
        <v>1000</v>
      </c>
      <c r="S53" s="348">
        <v>2560</v>
      </c>
      <c r="T53" s="349">
        <v>1400</v>
      </c>
      <c r="U53" s="351">
        <f>'[4]6-Hm Budget Total-FY21 (P&amp;L)'!T59</f>
        <v>417.84</v>
      </c>
      <c r="V53" s="351">
        <f>'[4]6-Hm FY21 Budget Variance (P&amp;L)'!G62</f>
        <v>567.83999999999992</v>
      </c>
    </row>
    <row r="54" spans="2:22" x14ac:dyDescent="0.2">
      <c r="B54" s="369" t="s">
        <v>309</v>
      </c>
      <c r="C54" s="363" t="s">
        <v>149</v>
      </c>
      <c r="D54" s="345">
        <f>IFERROR(VLOOKUP($B54,'[4]6-Hm Budget Total-FY21 (P&amp;L)'!$B$40:$O$117,3,FALSE),0)</f>
        <v>4443.958333333333</v>
      </c>
      <c r="E54" s="345">
        <f>IFERROR(VLOOKUP($B54,'[4]6-Hm Budget Total-FY21 (P&amp;L)'!$B$40:$O$117,4,FALSE),0)</f>
        <v>3463.958333333333</v>
      </c>
      <c r="F54" s="345">
        <f>IFERROR(VLOOKUP($B54,'[4]6-Hm Budget Total-FY21 (P&amp;L)'!$B$40:$O$117,5,FALSE),0)</f>
        <v>3483.958333333333</v>
      </c>
      <c r="G54" s="345">
        <f>IFERROR(VLOOKUP($B54,'[4]6-Hm Budget Total-FY21 (P&amp;L)'!$B$40:$O$117,6,FALSE),0)</f>
        <v>4583.958333333333</v>
      </c>
      <c r="H54" s="345">
        <f>IFERROR(VLOOKUP($B54,'[4]6-Hm Budget Total-FY21 (P&amp;L)'!$B$40:$O$117,7,FALSE),0)</f>
        <v>3583.958333333333</v>
      </c>
      <c r="I54" s="345">
        <f>IFERROR(VLOOKUP($B54,'[4]6-Hm Budget Total-FY21 (P&amp;L)'!$B$40:$O$117,8,FALSE),0)</f>
        <v>3583.958333333333</v>
      </c>
      <c r="J54" s="345">
        <f>IFERROR(VLOOKUP($B54,'[4]6-Hm Budget Total-FY21 (P&amp;L)'!$B$40:$O$117,9,FALSE),0)</f>
        <v>3733.958333333333</v>
      </c>
      <c r="K54" s="345">
        <f>IFERROR(VLOOKUP($B54,'[4]6-Hm Budget Total-FY21 (P&amp;L)'!$B$40:$O$117,10,FALSE),0)</f>
        <v>3483.958333333333</v>
      </c>
      <c r="L54" s="345">
        <f>IFERROR(VLOOKUP($B54,'[4]6-Hm Budget Total-FY21 (P&amp;L)'!$B$40:$O$117,11,FALSE),0)</f>
        <v>3738.958333333333</v>
      </c>
      <c r="M54" s="345">
        <f>IFERROR(VLOOKUP($B54,'[4]6-Hm Budget Total-FY21 (P&amp;L)'!$B$40:$O$117,12,FALSE),0)</f>
        <v>3673.958333333333</v>
      </c>
      <c r="N54" s="345">
        <f>IFERROR(VLOOKUP($B54,'[4]6-Hm Budget Total-FY21 (P&amp;L)'!$B$40:$O$117,13,FALSE),0)</f>
        <v>3673.958333333333</v>
      </c>
      <c r="O54" s="345">
        <f>IFERROR(VLOOKUP($B54,'[4]6-Hm Budget Total-FY21 (P&amp;L)'!$B$40:$O$117,14,FALSE),0)</f>
        <v>-9326.0416666666661</v>
      </c>
      <c r="P54" s="357">
        <f t="shared" si="2"/>
        <v>32123</v>
      </c>
      <c r="Q54" s="345"/>
      <c r="R54" s="99"/>
      <c r="S54" s="348">
        <v>45123</v>
      </c>
      <c r="T54" s="349">
        <v>23682</v>
      </c>
      <c r="U54" s="351">
        <f>'[4]6-Hm Budget Total-FY21 (P&amp;L)'!T67</f>
        <v>22678.870000000003</v>
      </c>
      <c r="V54" s="351">
        <f>'[4]6-Hm FY21 Budget Variance (P&amp;L)'!G70</f>
        <v>23223.870000000003</v>
      </c>
    </row>
    <row r="55" spans="2:22" x14ac:dyDescent="0.2">
      <c r="B55" s="269">
        <v>6560</v>
      </c>
      <c r="C55" s="363" t="s">
        <v>150</v>
      </c>
      <c r="D55" s="345">
        <f>IFERROR(VLOOKUP($B55,'[4]6-Hm Budget Total-FY21 (P&amp;L)'!$B$40:$O$117,3,FALSE),0)</f>
        <v>10691.299789624998</v>
      </c>
      <c r="E55" s="345">
        <f>IFERROR(VLOOKUP($B55,'[4]6-Hm Budget Total-FY21 (P&amp;L)'!$B$40:$O$117,4,FALSE),0)</f>
        <v>10691.299789624998</v>
      </c>
      <c r="F55" s="345">
        <f>IFERROR(VLOOKUP($B55,'[4]6-Hm Budget Total-FY21 (P&amp;L)'!$B$40:$O$117,5,FALSE),0)</f>
        <v>10691.299789624998</v>
      </c>
      <c r="G55" s="345">
        <f>IFERROR(VLOOKUP($B55,'[4]6-Hm Budget Total-FY21 (P&amp;L)'!$B$40:$O$117,6,FALSE),0)</f>
        <v>10691.299789624998</v>
      </c>
      <c r="H55" s="345">
        <f>IFERROR(VLOOKUP($B55,'[4]6-Hm Budget Total-FY21 (P&amp;L)'!$B$40:$O$117,7,FALSE),0)</f>
        <v>10691.299789624998</v>
      </c>
      <c r="I55" s="345">
        <f>IFERROR(VLOOKUP($B55,'[4]6-Hm Budget Total-FY21 (P&amp;L)'!$B$40:$O$117,8,FALSE),0)</f>
        <v>10691.299789624998</v>
      </c>
      <c r="J55" s="345">
        <f>IFERROR(VLOOKUP($B55,'[4]6-Hm Budget Total-FY21 (P&amp;L)'!$B$40:$O$117,9,FALSE),0)</f>
        <v>11048.694789624999</v>
      </c>
      <c r="K55" s="345">
        <f>IFERROR(VLOOKUP($B55,'[4]6-Hm Budget Total-FY21 (P&amp;L)'!$B$40:$O$117,10,FALSE),0)</f>
        <v>11048.694789624999</v>
      </c>
      <c r="L55" s="345">
        <f>IFERROR(VLOOKUP($B55,'[4]6-Hm Budget Total-FY21 (P&amp;L)'!$B$40:$O$117,11,FALSE),0)</f>
        <v>11048.694789624999</v>
      </c>
      <c r="M55" s="345">
        <f>IFERROR(VLOOKUP($B55,'[4]6-Hm Budget Total-FY21 (P&amp;L)'!$B$40:$O$117,12,FALSE),0)</f>
        <v>11864.009789624999</v>
      </c>
      <c r="N55" s="345">
        <f>IFERROR(VLOOKUP($B55,'[4]6-Hm Budget Total-FY21 (P&amp;L)'!$B$40:$O$117,13,FALSE),0)</f>
        <v>11864.009789624999</v>
      </c>
      <c r="O55" s="345">
        <f>IFERROR(VLOOKUP($B55,'[4]6-Hm Budget Total-FY21 (P&amp;L)'!$B$40:$O$117,14,FALSE),0)</f>
        <v>11864.009789624999</v>
      </c>
      <c r="P55" s="357">
        <f t="shared" si="2"/>
        <v>132886</v>
      </c>
      <c r="Q55" s="345"/>
      <c r="R55" s="99"/>
      <c r="S55" s="348">
        <v>146071</v>
      </c>
      <c r="T55" s="349">
        <v>128378</v>
      </c>
      <c r="U55" s="351">
        <f>'[4]6-Hm Budget Total-FY21 (P&amp;L)'!T68</f>
        <v>100251.58</v>
      </c>
      <c r="V55" s="351">
        <f>'[4]6-Hm FY21 Budget Variance (P&amp;L)'!G71</f>
        <v>128728.1</v>
      </c>
    </row>
    <row r="56" spans="2:22" x14ac:dyDescent="0.2">
      <c r="B56" s="369" t="s">
        <v>310</v>
      </c>
      <c r="C56" s="363" t="s">
        <v>461</v>
      </c>
      <c r="D56" s="345">
        <f>IFERROR(VLOOKUP($B56,'[4]6-Hm Budget Total-FY21 (P&amp;L)'!$B$40:$O$117,3,FALSE),0)</f>
        <v>2326.2197066666668</v>
      </c>
      <c r="E56" s="345">
        <f>IFERROR(VLOOKUP($B56,'[4]6-Hm Budget Total-FY21 (P&amp;L)'!$B$40:$O$117,4,FALSE),0)</f>
        <v>3326.2197066666668</v>
      </c>
      <c r="F56" s="345">
        <f>IFERROR(VLOOKUP($B56,'[4]6-Hm Budget Total-FY21 (P&amp;L)'!$B$40:$O$117,5,FALSE),0)</f>
        <v>2326.2197066666668</v>
      </c>
      <c r="G56" s="345">
        <f>IFERROR(VLOOKUP($B56,'[4]6-Hm Budget Total-FY21 (P&amp;L)'!$B$40:$O$117,6,FALSE),0)</f>
        <v>2326.2197066666668</v>
      </c>
      <c r="H56" s="345">
        <f>IFERROR(VLOOKUP($B56,'[4]6-Hm Budget Total-FY21 (P&amp;L)'!$B$40:$O$117,7,FALSE),0)</f>
        <v>2326.2197066666668</v>
      </c>
      <c r="I56" s="345">
        <f>IFERROR(VLOOKUP($B56,'[4]6-Hm Budget Total-FY21 (P&amp;L)'!$B$40:$O$117,8,FALSE),0)</f>
        <v>2326.2197066666668</v>
      </c>
      <c r="J56" s="345">
        <f>IFERROR(VLOOKUP($B56,'[4]6-Hm Budget Total-FY21 (P&amp;L)'!$B$40:$O$117,9,FALSE),0)</f>
        <v>2326.2197066666668</v>
      </c>
      <c r="K56" s="345">
        <f>IFERROR(VLOOKUP($B56,'[4]6-Hm Budget Total-FY21 (P&amp;L)'!$B$40:$O$117,10,FALSE),0)</f>
        <v>2326.2197066666668</v>
      </c>
      <c r="L56" s="345">
        <f>IFERROR(VLOOKUP($B56,'[4]6-Hm Budget Total-FY21 (P&amp;L)'!$B$40:$O$117,11,FALSE),0)</f>
        <v>2326.2197066666668</v>
      </c>
      <c r="M56" s="345">
        <f>IFERROR(VLOOKUP($B56,'[4]6-Hm Budget Total-FY21 (P&amp;L)'!$B$40:$O$117,12,FALSE),0)</f>
        <v>2326.2197066666668</v>
      </c>
      <c r="N56" s="345">
        <f>IFERROR(VLOOKUP($B56,'[4]6-Hm Budget Total-FY21 (P&amp;L)'!$B$40:$O$117,13,FALSE),0)</f>
        <v>2326.2197066666668</v>
      </c>
      <c r="O56" s="345">
        <f>IFERROR(VLOOKUP($B56,'[4]6-Hm Budget Total-FY21 (P&amp;L)'!$B$40:$O$117,14,FALSE),0)</f>
        <v>2326.2197066666668</v>
      </c>
      <c r="P56" s="357">
        <f>(ROUNDUP(SUM(D56:O56),0))</f>
        <v>28915</v>
      </c>
      <c r="Q56" s="371"/>
      <c r="R56" s="99"/>
      <c r="S56" s="348">
        <v>36405</v>
      </c>
      <c r="T56" s="349">
        <v>20922</v>
      </c>
      <c r="U56" s="351">
        <f>'[4]6-Hm Budget Total-FY21 (P&amp;L)'!T69</f>
        <v>13884.59</v>
      </c>
      <c r="V56" s="351">
        <f>'[4]6-Hm FY21 Budget Variance (P&amp;L)'!G72</f>
        <v>17884.79</v>
      </c>
    </row>
    <row r="57" spans="2:22" x14ac:dyDescent="0.2">
      <c r="B57" s="368">
        <v>8300</v>
      </c>
      <c r="C57" s="363" t="s">
        <v>155</v>
      </c>
      <c r="D57" s="345">
        <f>IFERROR(VLOOKUP($B57,'[4]6-Hm Budget Total-FY21 (P&amp;L)'!$B$40:$O$117,3,FALSE),0)</f>
        <v>2799</v>
      </c>
      <c r="E57" s="345">
        <f>IFERROR(VLOOKUP($B57,'[4]6-Hm Budget Total-FY21 (P&amp;L)'!$B$40:$O$117,4,FALSE),0)</f>
        <v>1250</v>
      </c>
      <c r="F57" s="345">
        <f>IFERROR(VLOOKUP($B57,'[4]6-Hm Budget Total-FY21 (P&amp;L)'!$B$40:$O$117,5,FALSE),0)</f>
        <v>1250</v>
      </c>
      <c r="G57" s="345">
        <f>IFERROR(VLOOKUP($B57,'[4]6-Hm Budget Total-FY21 (P&amp;L)'!$B$40:$O$117,6,FALSE),0)</f>
        <v>2250</v>
      </c>
      <c r="H57" s="345">
        <f>IFERROR(VLOOKUP($B57,'[4]6-Hm Budget Total-FY21 (P&amp;L)'!$B$40:$O$117,7,FALSE),0)</f>
        <v>2550</v>
      </c>
      <c r="I57" s="345">
        <f>IFERROR(VLOOKUP($B57,'[4]6-Hm Budget Total-FY21 (P&amp;L)'!$B$40:$O$117,8,FALSE),0)</f>
        <v>1910</v>
      </c>
      <c r="J57" s="345">
        <f>IFERROR(VLOOKUP($B57,'[4]6-Hm Budget Total-FY21 (P&amp;L)'!$B$40:$O$117,9,FALSE),0)</f>
        <v>1650</v>
      </c>
      <c r="K57" s="345">
        <f>IFERROR(VLOOKUP($B57,'[4]6-Hm Budget Total-FY21 (P&amp;L)'!$B$40:$O$117,10,FALSE),0)</f>
        <v>2250</v>
      </c>
      <c r="L57" s="345">
        <f>IFERROR(VLOOKUP($B57,'[4]6-Hm Budget Total-FY21 (P&amp;L)'!$B$40:$O$117,11,FALSE),0)</f>
        <v>1400</v>
      </c>
      <c r="M57" s="345">
        <f>IFERROR(VLOOKUP($B57,'[4]6-Hm Budget Total-FY21 (P&amp;L)'!$B$40:$O$117,12,FALSE),0)</f>
        <v>2250</v>
      </c>
      <c r="N57" s="345">
        <f>IFERROR(VLOOKUP($B57,'[4]6-Hm Budget Total-FY21 (P&amp;L)'!$B$40:$O$117,13,FALSE),0)</f>
        <v>1080</v>
      </c>
      <c r="O57" s="345">
        <f>IFERROR(VLOOKUP($B57,'[4]6-Hm Budget Total-FY21 (P&amp;L)'!$B$40:$O$117,14,FALSE),0)</f>
        <v>2150</v>
      </c>
      <c r="P57" s="357">
        <f t="shared" si="2"/>
        <v>22789</v>
      </c>
      <c r="Q57" s="345"/>
      <c r="R57" s="99"/>
      <c r="S57" s="348">
        <v>22789</v>
      </c>
      <c r="T57" s="349">
        <v>18395</v>
      </c>
      <c r="U57" s="351">
        <f>'[4]6-Hm Budget Total-FY21 (P&amp;L)'!T70</f>
        <v>5044.9799999999996</v>
      </c>
      <c r="V57" s="351">
        <f>'[4]6-Hm FY21 Budget Variance (P&amp;L)'!G74</f>
        <v>5044.9799999999996</v>
      </c>
    </row>
    <row r="58" spans="2:22" x14ac:dyDescent="0.2">
      <c r="B58" s="268">
        <v>5211</v>
      </c>
      <c r="C58" s="363" t="s">
        <v>312</v>
      </c>
      <c r="D58" s="345">
        <f>IFERROR(VLOOKUP($B58,'[4]6-Hm Budget Total-FY21 (P&amp;L)'!$B$40:$O$117,3,FALSE),0)</f>
        <v>175</v>
      </c>
      <c r="E58" s="345">
        <f>IFERROR(VLOOKUP($B58,'[4]6-Hm Budget Total-FY21 (P&amp;L)'!$B$40:$O$117,4,FALSE),0)</f>
        <v>175</v>
      </c>
      <c r="F58" s="345">
        <f>IFERROR(VLOOKUP($B58,'[4]6-Hm Budget Total-FY21 (P&amp;L)'!$B$40:$O$117,5,FALSE),0)</f>
        <v>175</v>
      </c>
      <c r="G58" s="345">
        <f>IFERROR(VLOOKUP($B58,'[4]6-Hm Budget Total-FY21 (P&amp;L)'!$B$40:$O$117,6,FALSE),0)</f>
        <v>175</v>
      </c>
      <c r="H58" s="345">
        <f>IFERROR(VLOOKUP($B58,'[4]6-Hm Budget Total-FY21 (P&amp;L)'!$B$40:$O$117,7,FALSE),0)</f>
        <v>175</v>
      </c>
      <c r="I58" s="345">
        <f>IFERROR(VLOOKUP($B58,'[4]6-Hm Budget Total-FY21 (P&amp;L)'!$B$40:$O$117,8,FALSE),0)</f>
        <v>175</v>
      </c>
      <c r="J58" s="345">
        <f>IFERROR(VLOOKUP($B58,'[4]6-Hm Budget Total-FY21 (P&amp;L)'!$B$40:$O$117,9,FALSE),0)</f>
        <v>175</v>
      </c>
      <c r="K58" s="345">
        <f>IFERROR(VLOOKUP($B58,'[4]6-Hm Budget Total-FY21 (P&amp;L)'!$B$40:$O$117,10,FALSE),0)</f>
        <v>25</v>
      </c>
      <c r="L58" s="345">
        <f>IFERROR(VLOOKUP($B58,'[4]6-Hm Budget Total-FY21 (P&amp;L)'!$B$40:$O$117,11,FALSE),0)</f>
        <v>25</v>
      </c>
      <c r="M58" s="345">
        <f>IFERROR(VLOOKUP($B58,'[4]6-Hm Budget Total-FY21 (P&amp;L)'!$B$40:$O$117,12,FALSE),0)</f>
        <v>25</v>
      </c>
      <c r="N58" s="345">
        <f>IFERROR(VLOOKUP($B58,'[4]6-Hm Budget Total-FY21 (P&amp;L)'!$B$40:$O$117,13,FALSE),0)</f>
        <v>25</v>
      </c>
      <c r="O58" s="345">
        <f>IFERROR(VLOOKUP($B58,'[4]6-Hm Budget Total-FY21 (P&amp;L)'!$B$40:$O$117,14,FALSE),0)</f>
        <v>25</v>
      </c>
      <c r="P58" s="346">
        <f t="shared" si="2"/>
        <v>1350</v>
      </c>
      <c r="Q58" s="345"/>
      <c r="R58" s="99"/>
      <c r="S58" s="348">
        <v>1350</v>
      </c>
      <c r="T58" s="349">
        <v>1200</v>
      </c>
      <c r="U58" s="351">
        <f>'[4]6-Hm Budget Total-FY21 (P&amp;L)'!T71</f>
        <v>806.85</v>
      </c>
      <c r="V58" s="351">
        <f>'[4]6-Hm FY21 Budget Variance (P&amp;L)'!G75</f>
        <v>806.85</v>
      </c>
    </row>
    <row r="59" spans="2:22" x14ac:dyDescent="0.2">
      <c r="B59" s="368">
        <v>5410</v>
      </c>
      <c r="C59" s="363" t="s">
        <v>158</v>
      </c>
      <c r="D59" s="345">
        <f>IFERROR(VLOOKUP($B59,'[4]6-Hm Budget Total-FY21 (P&amp;L)'!$B$40:$O$117,3,FALSE),0)</f>
        <v>2590.4</v>
      </c>
      <c r="E59" s="345">
        <f>IFERROR(VLOOKUP($B59,'[4]6-Hm Budget Total-FY21 (P&amp;L)'!$B$40:$O$117,4,FALSE),0)</f>
        <v>2657.8</v>
      </c>
      <c r="F59" s="345">
        <f>IFERROR(VLOOKUP($B59,'[4]6-Hm Budget Total-FY21 (P&amp;L)'!$B$40:$O$117,5,FALSE),0)</f>
        <v>2639.11</v>
      </c>
      <c r="G59" s="345">
        <f>IFERROR(VLOOKUP($B59,'[4]6-Hm Budget Total-FY21 (P&amp;L)'!$B$40:$O$117,6,FALSE),0)</f>
        <v>2535.83</v>
      </c>
      <c r="H59" s="345">
        <f>IFERROR(VLOOKUP($B59,'[4]6-Hm Budget Total-FY21 (P&amp;L)'!$B$40:$O$117,7,FALSE),0)</f>
        <v>2601.1999999999998</v>
      </c>
      <c r="I59" s="345">
        <f>IFERROR(VLOOKUP($B59,'[4]6-Hm Budget Total-FY21 (P&amp;L)'!$B$40:$O$117,8,FALSE),0)</f>
        <v>2498.9899999999998</v>
      </c>
      <c r="J59" s="345">
        <f>IFERROR(VLOOKUP($B59,'[4]6-Hm Budget Total-FY21 (P&amp;L)'!$B$40:$O$117,9,FALSE),0)</f>
        <v>2562.9899999999998</v>
      </c>
      <c r="K59" s="345">
        <f>IFERROR(VLOOKUP($B59,'[4]6-Hm Budget Total-FY21 (P&amp;L)'!$B$40:$O$117,10,FALSE),0)</f>
        <v>2543.94</v>
      </c>
      <c r="L59" s="345">
        <f>IFERROR(VLOOKUP($B59,'[4]6-Hm Budget Total-FY21 (P&amp;L)'!$B$40:$O$117,11,FALSE),0)</f>
        <v>2280.48</v>
      </c>
      <c r="M59" s="345">
        <f>IFERROR(VLOOKUP($B59,'[4]6-Hm Budget Total-FY21 (P&amp;L)'!$B$40:$O$117,12,FALSE),0)</f>
        <v>14504.67</v>
      </c>
      <c r="N59" s="345">
        <f>IFERROR(VLOOKUP($B59,'[4]6-Hm Budget Total-FY21 (P&amp;L)'!$B$40:$O$117,13,FALSE),0)</f>
        <v>14405.22</v>
      </c>
      <c r="O59" s="345">
        <f>IFERROR(VLOOKUP($B59,'[4]6-Hm Budget Total-FY21 (P&amp;L)'!$B$40:$O$117,14,FALSE),0)</f>
        <v>14465.73</v>
      </c>
      <c r="P59" s="357">
        <f>(ROUNDUP(SUM(D59:O59),0))</f>
        <v>66287</v>
      </c>
      <c r="Q59" s="371"/>
      <c r="R59" s="99"/>
      <c r="S59" s="348">
        <v>30287</v>
      </c>
      <c r="T59" s="349">
        <v>33020</v>
      </c>
      <c r="U59" s="351">
        <f>'[4]6-Hm Budget Total-FY21 (P&amp;L)'!T72</f>
        <v>24965.29</v>
      </c>
      <c r="V59" s="351">
        <f>'[4]6-Hm FY21 Budget Variance (P&amp;L)'!G76</f>
        <v>29765.29</v>
      </c>
    </row>
    <row r="60" spans="2:22" x14ac:dyDescent="0.2">
      <c r="B60" s="268">
        <v>5220</v>
      </c>
      <c r="C60" s="363" t="s">
        <v>159</v>
      </c>
      <c r="D60" s="345">
        <f>IFERROR(VLOOKUP($B60,'[4]6-Hm Budget Total-FY21 (P&amp;L)'!$B$40:$O$117,3,FALSE),0)</f>
        <v>21250</v>
      </c>
      <c r="E60" s="345">
        <f>IFERROR(VLOOKUP($B60,'[4]6-Hm Budget Total-FY21 (P&amp;L)'!$B$40:$O$117,4,FALSE),0)</f>
        <v>0</v>
      </c>
      <c r="F60" s="345">
        <f>IFERROR(VLOOKUP($B60,'[4]6-Hm Budget Total-FY21 (P&amp;L)'!$B$40:$O$117,5,FALSE),0)</f>
        <v>0</v>
      </c>
      <c r="G60" s="345">
        <f>IFERROR(VLOOKUP($B60,'[4]6-Hm Budget Total-FY21 (P&amp;L)'!$B$40:$O$117,6,FALSE),0)</f>
        <v>21250</v>
      </c>
      <c r="H60" s="345">
        <f>IFERROR(VLOOKUP($B60,'[4]6-Hm Budget Total-FY21 (P&amp;L)'!$B$40:$O$117,7,FALSE),0)</f>
        <v>0</v>
      </c>
      <c r="I60" s="345">
        <f>IFERROR(VLOOKUP($B60,'[4]6-Hm Budget Total-FY21 (P&amp;L)'!$B$40:$O$117,8,FALSE),0)</f>
        <v>0</v>
      </c>
      <c r="J60" s="345">
        <f>IFERROR(VLOOKUP($B60,'[4]6-Hm Budget Total-FY21 (P&amp;L)'!$B$40:$O$117,9,FALSE),0)</f>
        <v>21250</v>
      </c>
      <c r="K60" s="345">
        <f>IFERROR(VLOOKUP($B60,'[4]6-Hm Budget Total-FY21 (P&amp;L)'!$B$40:$O$117,10,FALSE),0)</f>
        <v>0</v>
      </c>
      <c r="L60" s="345">
        <f>IFERROR(VLOOKUP($B60,'[4]6-Hm Budget Total-FY21 (P&amp;L)'!$B$40:$O$117,11,FALSE),0)</f>
        <v>0</v>
      </c>
      <c r="M60" s="345">
        <f>IFERROR(VLOOKUP($B60,'[4]6-Hm Budget Total-FY21 (P&amp;L)'!$B$40:$O$117,12,FALSE),0)</f>
        <v>21250</v>
      </c>
      <c r="N60" s="345">
        <f>IFERROR(VLOOKUP($B60,'[4]6-Hm Budget Total-FY21 (P&amp;L)'!$B$40:$O$117,13,FALSE),0)</f>
        <v>0</v>
      </c>
      <c r="O60" s="345">
        <f>IFERROR(VLOOKUP($B60,'[4]6-Hm Budget Total-FY21 (P&amp;L)'!$B$40:$O$117,14,FALSE),0)</f>
        <v>0</v>
      </c>
      <c r="P60" s="357">
        <f t="shared" si="2"/>
        <v>85000</v>
      </c>
      <c r="Q60" s="345"/>
      <c r="R60" s="99"/>
      <c r="S60" s="348">
        <v>85000</v>
      </c>
      <c r="T60" s="349">
        <v>70000</v>
      </c>
      <c r="U60" s="351">
        <f>'[4]6-Hm Budget Total-FY21 (P&amp;L)'!T73</f>
        <v>72007.7</v>
      </c>
      <c r="V60" s="351">
        <f>'[4]6-Hm FY21 Budget Variance (P&amp;L)'!G77</f>
        <v>92007.7</v>
      </c>
    </row>
    <row r="61" spans="2:22" x14ac:dyDescent="0.2">
      <c r="B61" s="369" t="s">
        <v>313</v>
      </c>
      <c r="C61" s="363" t="s">
        <v>160</v>
      </c>
      <c r="D61" s="345">
        <f>IFERROR(VLOOKUP($B61,'[4]6-Hm Budget Total-FY21 (P&amp;L)'!$B$40:$O$117,3,FALSE),0)</f>
        <v>3417.3333333333335</v>
      </c>
      <c r="E61" s="345">
        <f>IFERROR(VLOOKUP($B61,'[4]6-Hm Budget Total-FY21 (P&amp;L)'!$B$40:$O$117,4,FALSE),0)</f>
        <v>4767.3333333333339</v>
      </c>
      <c r="F61" s="345">
        <f>IFERROR(VLOOKUP($B61,'[4]6-Hm Budget Total-FY21 (P&amp;L)'!$B$40:$O$117,5,FALSE),0)</f>
        <v>3192.3333333333335</v>
      </c>
      <c r="G61" s="345">
        <f>IFERROR(VLOOKUP($B61,'[4]6-Hm Budget Total-FY21 (P&amp;L)'!$B$40:$O$117,6,FALSE),0)</f>
        <v>2967.3333333333335</v>
      </c>
      <c r="H61" s="345">
        <f>IFERROR(VLOOKUP($B61,'[4]6-Hm Budget Total-FY21 (P&amp;L)'!$B$40:$O$117,7,FALSE),0)</f>
        <v>2967.3333333333335</v>
      </c>
      <c r="I61" s="345">
        <f>IFERROR(VLOOKUP($B61,'[4]6-Hm Budget Total-FY21 (P&amp;L)'!$B$40:$O$117,8,FALSE),0)</f>
        <v>2967.3333333333335</v>
      </c>
      <c r="J61" s="345">
        <f>IFERROR(VLOOKUP($B61,'[4]6-Hm Budget Total-FY21 (P&amp;L)'!$B$40:$O$117,9,FALSE),0)</f>
        <v>2967.3333333333335</v>
      </c>
      <c r="K61" s="345">
        <f>IFERROR(VLOOKUP($B61,'[4]6-Hm Budget Total-FY21 (P&amp;L)'!$B$40:$O$117,10,FALSE),0)</f>
        <v>2967.3333333333335</v>
      </c>
      <c r="L61" s="345">
        <f>IFERROR(VLOOKUP($B61,'[4]6-Hm Budget Total-FY21 (P&amp;L)'!$B$40:$O$117,11,FALSE),0)</f>
        <v>2967.3333333333335</v>
      </c>
      <c r="M61" s="345">
        <f>IFERROR(VLOOKUP($B61,'[4]6-Hm Budget Total-FY21 (P&amp;L)'!$B$40:$O$117,12,FALSE),0)</f>
        <v>12967.333333333334</v>
      </c>
      <c r="N61" s="345">
        <f>IFERROR(VLOOKUP($B61,'[4]6-Hm Budget Total-FY21 (P&amp;L)'!$B$40:$O$117,13,FALSE),0)</f>
        <v>2967.3333333333335</v>
      </c>
      <c r="O61" s="345">
        <f>IFERROR(VLOOKUP($B61,'[4]6-Hm Budget Total-FY21 (P&amp;L)'!$B$40:$O$117,14,FALSE),0)</f>
        <v>2967.3333333333335</v>
      </c>
      <c r="P61" s="346">
        <f t="shared" si="2"/>
        <v>48083</v>
      </c>
      <c r="Q61" s="345"/>
      <c r="R61" s="99"/>
      <c r="S61" s="348">
        <v>48083</v>
      </c>
      <c r="T61" s="349">
        <v>46061</v>
      </c>
      <c r="U61" s="351">
        <f>'[4]6-Hm Budget Total-FY21 (P&amp;L)'!T74</f>
        <v>31384.18</v>
      </c>
      <c r="V61" s="351">
        <f>'[4]6-Hm FY21 Budget Variance (P&amp;L)'!G78</f>
        <v>39784.18</v>
      </c>
    </row>
    <row r="62" spans="2:22" x14ac:dyDescent="0.2">
      <c r="B62" s="369" t="s">
        <v>314</v>
      </c>
      <c r="C62" s="363" t="s">
        <v>315</v>
      </c>
      <c r="D62" s="345">
        <f>IFERROR(VLOOKUP($B62,'[4]6-Hm Budget Total-FY21 (P&amp;L)'!$B$40:$O$117,3,FALSE),0)</f>
        <v>1236.0833333333335</v>
      </c>
      <c r="E62" s="345">
        <f>IFERROR(VLOOKUP($B62,'[4]6-Hm Budget Total-FY21 (P&amp;L)'!$B$40:$O$117,4,FALSE),0)</f>
        <v>1236.0833333333335</v>
      </c>
      <c r="F62" s="345">
        <f>IFERROR(VLOOKUP($B62,'[4]6-Hm Budget Total-FY21 (P&amp;L)'!$B$40:$O$117,5,FALSE),0)</f>
        <v>1236.0833333333335</v>
      </c>
      <c r="G62" s="345">
        <f>IFERROR(VLOOKUP($B62,'[4]6-Hm Budget Total-FY21 (P&amp;L)'!$B$40:$O$117,6,FALSE),0)</f>
        <v>1236.0833333333335</v>
      </c>
      <c r="H62" s="345">
        <f>IFERROR(VLOOKUP($B62,'[4]6-Hm Budget Total-FY21 (P&amp;L)'!$B$40:$O$117,7,FALSE),0)</f>
        <v>1236.0833333333335</v>
      </c>
      <c r="I62" s="345">
        <f>IFERROR(VLOOKUP($B62,'[4]6-Hm Budget Total-FY21 (P&amp;L)'!$B$40:$O$117,8,FALSE),0)</f>
        <v>1236.0833333333335</v>
      </c>
      <c r="J62" s="345">
        <f>IFERROR(VLOOKUP($B62,'[4]6-Hm Budget Total-FY21 (P&amp;L)'!$B$40:$O$117,9,FALSE),0)</f>
        <v>1236.0833333333335</v>
      </c>
      <c r="K62" s="345">
        <f>IFERROR(VLOOKUP($B62,'[4]6-Hm Budget Total-FY21 (P&amp;L)'!$B$40:$O$117,10,FALSE),0)</f>
        <v>1236.0833333333335</v>
      </c>
      <c r="L62" s="345">
        <f>IFERROR(VLOOKUP($B62,'[4]6-Hm Budget Total-FY21 (P&amp;L)'!$B$40:$O$117,11,FALSE),0)</f>
        <v>1736.0833333333335</v>
      </c>
      <c r="M62" s="345">
        <f>IFERROR(VLOOKUP($B62,'[4]6-Hm Budget Total-FY21 (P&amp;L)'!$B$40:$O$117,12,FALSE),0)</f>
        <v>1736.0833333333335</v>
      </c>
      <c r="N62" s="345">
        <f>IFERROR(VLOOKUP($B62,'[4]6-Hm Budget Total-FY21 (P&amp;L)'!$B$40:$O$117,13,FALSE),0)</f>
        <v>1736.0833333333335</v>
      </c>
      <c r="O62" s="345">
        <f>IFERROR(VLOOKUP($B62,'[4]6-Hm Budget Total-FY21 (P&amp;L)'!$B$40:$O$117,14,FALSE),0)</f>
        <v>1736.0833333333335</v>
      </c>
      <c r="P62" s="346">
        <f>(ROUNDUP(SUM(D62:O62),0))</f>
        <v>16833</v>
      </c>
      <c r="Q62" s="345"/>
      <c r="R62" s="99"/>
      <c r="S62" s="348">
        <v>16833</v>
      </c>
      <c r="T62" s="349">
        <v>13079</v>
      </c>
      <c r="U62" s="351">
        <f>'[4]6-Hm Budget Total-FY21 (P&amp;L)'!T75</f>
        <v>13438.300000000001</v>
      </c>
      <c r="V62" s="351">
        <f>'[4]6-Hm FY21 Budget Variance (P&amp;L)'!G79</f>
        <v>15708.300000000001</v>
      </c>
    </row>
    <row r="63" spans="2:22" x14ac:dyDescent="0.2">
      <c r="B63" s="369" t="s">
        <v>316</v>
      </c>
      <c r="C63" s="363" t="s">
        <v>162</v>
      </c>
      <c r="D63" s="345">
        <f>IFERROR(VLOOKUP($B63,'[4]6-Hm Budget Total-FY21 (P&amp;L)'!$B$40:$O$117,3,FALSE),0)</f>
        <v>163</v>
      </c>
      <c r="E63" s="345">
        <f>IFERROR(VLOOKUP($B63,'[4]6-Hm Budget Total-FY21 (P&amp;L)'!$B$40:$O$117,4,FALSE),0)</f>
        <v>167</v>
      </c>
      <c r="F63" s="345">
        <f>IFERROR(VLOOKUP($B63,'[4]6-Hm Budget Total-FY21 (P&amp;L)'!$B$40:$O$117,5,FALSE),0)</f>
        <v>167</v>
      </c>
      <c r="G63" s="345">
        <f>IFERROR(VLOOKUP($B63,'[4]6-Hm Budget Total-FY21 (P&amp;L)'!$B$40:$O$117,6,FALSE),0)</f>
        <v>167</v>
      </c>
      <c r="H63" s="345">
        <f>IFERROR(VLOOKUP($B63,'[4]6-Hm Budget Total-FY21 (P&amp;L)'!$B$40:$O$117,7,FALSE),0)</f>
        <v>167</v>
      </c>
      <c r="I63" s="345">
        <f>IFERROR(VLOOKUP($B63,'[4]6-Hm Budget Total-FY21 (P&amp;L)'!$B$40:$O$117,8,FALSE),0)</f>
        <v>167</v>
      </c>
      <c r="J63" s="345">
        <f>IFERROR(VLOOKUP($B63,'[4]6-Hm Budget Total-FY21 (P&amp;L)'!$B$40:$O$117,9,FALSE),0)</f>
        <v>167</v>
      </c>
      <c r="K63" s="345">
        <f>IFERROR(VLOOKUP($B63,'[4]6-Hm Budget Total-FY21 (P&amp;L)'!$B$40:$O$117,10,FALSE),0)</f>
        <v>167</v>
      </c>
      <c r="L63" s="345">
        <f>IFERROR(VLOOKUP($B63,'[4]6-Hm Budget Total-FY21 (P&amp;L)'!$B$40:$O$117,11,FALSE),0)</f>
        <v>167</v>
      </c>
      <c r="M63" s="345">
        <f>IFERROR(VLOOKUP($B63,'[4]6-Hm Budget Total-FY21 (P&amp;L)'!$B$40:$O$117,12,FALSE),0)</f>
        <v>167</v>
      </c>
      <c r="N63" s="345">
        <f>IFERROR(VLOOKUP($B63,'[4]6-Hm Budget Total-FY21 (P&amp;L)'!$B$40:$O$117,13,FALSE),0)</f>
        <v>3167</v>
      </c>
      <c r="O63" s="352">
        <f>IFERROR(VLOOKUP($B63,'[4]6-Hm Budget Total-FY21 (P&amp;L)'!$B$40:$O$117,14,FALSE),0)-3000</f>
        <v>-1833</v>
      </c>
      <c r="P63" s="357">
        <f t="shared" si="2"/>
        <v>3000</v>
      </c>
      <c r="Q63" s="345" t="s">
        <v>462</v>
      </c>
      <c r="R63" s="99"/>
      <c r="S63" s="348">
        <v>3000</v>
      </c>
      <c r="T63" s="349">
        <v>3475</v>
      </c>
      <c r="U63" s="351">
        <f>'[4]6-Hm Budget Total-FY21 (P&amp;L)'!T76</f>
        <v>12807.5</v>
      </c>
      <c r="V63" s="351">
        <f>'[4]6-Hm FY21 Budget Variance (P&amp;L)'!G80</f>
        <v>16307.5</v>
      </c>
    </row>
    <row r="64" spans="2:22" x14ac:dyDescent="0.2">
      <c r="B64" s="369" t="s">
        <v>317</v>
      </c>
      <c r="C64" s="363" t="s">
        <v>318</v>
      </c>
      <c r="D64" s="345">
        <f>IFERROR(VLOOKUP($B64,'[4]6-Hm Budget Total-FY21 (P&amp;L)'!$B$40:$O$117,3,FALSE),0)</f>
        <v>2613.0833333333335</v>
      </c>
      <c r="E64" s="345">
        <f>IFERROR(VLOOKUP($B64,'[4]6-Hm Budget Total-FY21 (P&amp;L)'!$B$40:$O$117,4,FALSE),0)</f>
        <v>2613.0833333333335</v>
      </c>
      <c r="F64" s="345">
        <f>IFERROR(VLOOKUP($B64,'[4]6-Hm Budget Total-FY21 (P&amp;L)'!$B$40:$O$117,5,FALSE),0)</f>
        <v>2613.0833333333335</v>
      </c>
      <c r="G64" s="345">
        <f>IFERROR(VLOOKUP($B64,'[4]6-Hm Budget Total-FY21 (P&amp;L)'!$B$40:$O$117,6,FALSE),0)</f>
        <v>2613.0833333333335</v>
      </c>
      <c r="H64" s="345">
        <f>IFERROR(VLOOKUP($B64,'[4]6-Hm Budget Total-FY21 (P&amp;L)'!$B$40:$O$117,7,FALSE),0)</f>
        <v>2613.0833333333335</v>
      </c>
      <c r="I64" s="345">
        <f>IFERROR(VLOOKUP($B64,'[4]6-Hm Budget Total-FY21 (P&amp;L)'!$B$40:$O$117,8,FALSE),0)</f>
        <v>2613.0833333333335</v>
      </c>
      <c r="J64" s="345">
        <f>IFERROR(VLOOKUP($B64,'[4]6-Hm Budget Total-FY21 (P&amp;L)'!$B$40:$O$117,9,FALSE),0)</f>
        <v>2613.0833333333335</v>
      </c>
      <c r="K64" s="345">
        <f>IFERROR(VLOOKUP($B64,'[4]6-Hm Budget Total-FY21 (P&amp;L)'!$B$40:$O$117,10,FALSE),0)</f>
        <v>2613.0833333333335</v>
      </c>
      <c r="L64" s="345">
        <f>IFERROR(VLOOKUP($B64,'[4]6-Hm Budget Total-FY21 (P&amp;L)'!$B$40:$O$117,11,FALSE),0)</f>
        <v>6913.0833333333339</v>
      </c>
      <c r="M64" s="345">
        <f>IFERROR(VLOOKUP($B64,'[4]6-Hm Budget Total-FY21 (P&amp;L)'!$B$40:$O$117,12,FALSE),0)</f>
        <v>3413.0833333333339</v>
      </c>
      <c r="N64" s="345">
        <f>IFERROR(VLOOKUP($B64,'[4]6-Hm Budget Total-FY21 (P&amp;L)'!$B$40:$O$117,13,FALSE),0)</f>
        <v>3413.0833333333339</v>
      </c>
      <c r="O64" s="345">
        <f>IFERROR(VLOOKUP($B64,'[4]6-Hm Budget Total-FY21 (P&amp;L)'!$B$40:$O$117,14,FALSE),0)</f>
        <v>3413.0833333333339</v>
      </c>
      <c r="P64" s="357">
        <f t="shared" si="2"/>
        <v>38057</v>
      </c>
      <c r="Q64" s="345"/>
      <c r="R64" s="99"/>
      <c r="S64" s="348">
        <v>38057</v>
      </c>
      <c r="T64" s="349">
        <v>25708</v>
      </c>
      <c r="U64" s="351">
        <f>'[4]6-Hm Budget Total-FY21 (P&amp;L)'!T77</f>
        <v>26963.989999999998</v>
      </c>
      <c r="V64" s="351">
        <f>'[4]6-Hm FY21 Budget Variance (P&amp;L)'!G81</f>
        <v>34863.99</v>
      </c>
    </row>
    <row r="65" spans="2:22" x14ac:dyDescent="0.2">
      <c r="B65" s="268">
        <v>5214</v>
      </c>
      <c r="C65" s="363" t="s">
        <v>164</v>
      </c>
      <c r="D65" s="345">
        <f>IFERROR(VLOOKUP($B65,'[4]6-Hm Budget Total-FY21 (P&amp;L)'!$B$40:$O$117,3,FALSE),0)</f>
        <v>850</v>
      </c>
      <c r="E65" s="345">
        <f>IFERROR(VLOOKUP($B65,'[4]6-Hm Budget Total-FY21 (P&amp;L)'!$B$40:$O$117,4,FALSE),0)</f>
        <v>0</v>
      </c>
      <c r="F65" s="345">
        <f>IFERROR(VLOOKUP($B65,'[4]6-Hm Budget Total-FY21 (P&amp;L)'!$B$40:$O$117,5,FALSE),0)</f>
        <v>0</v>
      </c>
      <c r="G65" s="345">
        <f>IFERROR(VLOOKUP($B65,'[4]6-Hm Budget Total-FY21 (P&amp;L)'!$B$40:$O$117,6,FALSE),0)</f>
        <v>0</v>
      </c>
      <c r="H65" s="345">
        <f>IFERROR(VLOOKUP($B65,'[4]6-Hm Budget Total-FY21 (P&amp;L)'!$B$40:$O$117,7,FALSE),0)</f>
        <v>0</v>
      </c>
      <c r="I65" s="345">
        <f>IFERROR(VLOOKUP($B65,'[4]6-Hm Budget Total-FY21 (P&amp;L)'!$B$40:$O$117,8,FALSE),0)</f>
        <v>0</v>
      </c>
      <c r="J65" s="345">
        <f>IFERROR(VLOOKUP($B65,'[4]6-Hm Budget Total-FY21 (P&amp;L)'!$B$40:$O$117,9,FALSE),0)</f>
        <v>1500</v>
      </c>
      <c r="K65" s="345">
        <f>IFERROR(VLOOKUP($B65,'[4]6-Hm Budget Total-FY21 (P&amp;L)'!$B$40:$O$117,10,FALSE),0)</f>
        <v>1500</v>
      </c>
      <c r="L65" s="345">
        <f>IFERROR(VLOOKUP($B65,'[4]6-Hm Budget Total-FY21 (P&amp;L)'!$B$40:$O$117,11,FALSE),0)</f>
        <v>1500</v>
      </c>
      <c r="M65" s="345">
        <f>IFERROR(VLOOKUP($B65,'[4]6-Hm Budget Total-FY21 (P&amp;L)'!$B$40:$O$117,12,FALSE),0)</f>
        <v>1500</v>
      </c>
      <c r="N65" s="345">
        <f>IFERROR(VLOOKUP($B65,'[4]6-Hm Budget Total-FY21 (P&amp;L)'!$B$40:$O$117,13,FALSE),0)</f>
        <v>1500</v>
      </c>
      <c r="O65" s="345">
        <f>IFERROR(VLOOKUP($B65,'[4]6-Hm Budget Total-FY21 (P&amp;L)'!$B$40:$O$117,14,FALSE),0)</f>
        <v>1500</v>
      </c>
      <c r="P65" s="346">
        <f t="shared" si="2"/>
        <v>9850</v>
      </c>
      <c r="Q65" s="345"/>
      <c r="R65" s="99">
        <v>-15000</v>
      </c>
      <c r="S65" s="348">
        <v>7825</v>
      </c>
      <c r="T65" s="349">
        <v>4099</v>
      </c>
      <c r="U65" s="351">
        <f>'[4]6-Hm Budget Total-FY21 (P&amp;L)'!T79</f>
        <v>9278.94</v>
      </c>
      <c r="V65" s="351">
        <f>'[4]6-Hm FY21 Budget Variance (P&amp;L)'!G83</f>
        <v>16778.940000000002</v>
      </c>
    </row>
    <row r="66" spans="2:22" x14ac:dyDescent="0.2">
      <c r="B66" s="270" t="s">
        <v>319</v>
      </c>
      <c r="C66" s="363" t="s">
        <v>320</v>
      </c>
      <c r="D66" s="345">
        <f>IFERROR(VLOOKUP($B66,'[4]6-Hm Budget Total-FY21 (P&amp;L)'!$B$40:$O$117,3,FALSE),0)</f>
        <v>187</v>
      </c>
      <c r="E66" s="345">
        <f>IFERROR(VLOOKUP($B66,'[4]6-Hm Budget Total-FY21 (P&amp;L)'!$B$40:$O$117,4,FALSE),0)</f>
        <v>187</v>
      </c>
      <c r="F66" s="345">
        <f>IFERROR(VLOOKUP($B66,'[4]6-Hm Budget Total-FY21 (P&amp;L)'!$B$40:$O$117,5,FALSE),0)</f>
        <v>187</v>
      </c>
      <c r="G66" s="345">
        <f>IFERROR(VLOOKUP($B66,'[4]6-Hm Budget Total-FY21 (P&amp;L)'!$B$40:$O$117,6,FALSE),0)</f>
        <v>187</v>
      </c>
      <c r="H66" s="345">
        <f>IFERROR(VLOOKUP($B66,'[4]6-Hm Budget Total-FY21 (P&amp;L)'!$B$40:$O$117,7,FALSE),0)</f>
        <v>187</v>
      </c>
      <c r="I66" s="345">
        <f>IFERROR(VLOOKUP($B66,'[4]6-Hm Budget Total-FY21 (P&amp;L)'!$B$40:$O$117,8,FALSE),0)</f>
        <v>187</v>
      </c>
      <c r="J66" s="345">
        <f>IFERROR(VLOOKUP($B66,'[4]6-Hm Budget Total-FY21 (P&amp;L)'!$B$40:$O$117,9,FALSE),0)</f>
        <v>187</v>
      </c>
      <c r="K66" s="345">
        <f>IFERROR(VLOOKUP($B66,'[4]6-Hm Budget Total-FY21 (P&amp;L)'!$B$40:$O$117,10,FALSE),0)</f>
        <v>187</v>
      </c>
      <c r="L66" s="345">
        <f>IFERROR(VLOOKUP($B66,'[4]6-Hm Budget Total-FY21 (P&amp;L)'!$B$40:$O$117,11,FALSE),0)</f>
        <v>187</v>
      </c>
      <c r="M66" s="345">
        <f>IFERROR(VLOOKUP($B66,'[4]6-Hm Budget Total-FY21 (P&amp;L)'!$B$40:$O$117,12,FALSE),0)</f>
        <v>187</v>
      </c>
      <c r="N66" s="345">
        <f>IFERROR(VLOOKUP($B66,'[4]6-Hm Budget Total-FY21 (P&amp;L)'!$B$40:$O$117,13,FALSE),0)</f>
        <v>187</v>
      </c>
      <c r="O66" s="345">
        <f>IFERROR(VLOOKUP($B66,'[4]6-Hm Budget Total-FY21 (P&amp;L)'!$B$40:$O$117,14,FALSE),0)</f>
        <v>187</v>
      </c>
      <c r="P66" s="346">
        <f t="shared" si="2"/>
        <v>2244</v>
      </c>
      <c r="Q66" s="345"/>
      <c r="R66" s="99"/>
      <c r="S66" s="348">
        <v>2244</v>
      </c>
      <c r="T66" s="349">
        <v>1464</v>
      </c>
      <c r="U66" s="351">
        <f>'[4]6-Hm Budget Total-FY21 (P&amp;L)'!T80</f>
        <v>1576.04</v>
      </c>
      <c r="V66" s="351">
        <f>'[4]6-Hm FY21 Budget Variance (P&amp;L)'!G84</f>
        <v>1976.04</v>
      </c>
    </row>
    <row r="67" spans="2:22" x14ac:dyDescent="0.2">
      <c r="B67" s="369" t="s">
        <v>321</v>
      </c>
      <c r="C67" s="363" t="s">
        <v>166</v>
      </c>
      <c r="D67" s="345">
        <f>IFERROR(VLOOKUP($B67,'[4]6-Hm Budget Total-FY21 (P&amp;L)'!$B$40:$O$117,3,FALSE),0)</f>
        <v>1143.0033333333333</v>
      </c>
      <c r="E67" s="345">
        <f>IFERROR(VLOOKUP($B67,'[4]6-Hm Budget Total-FY21 (P&amp;L)'!$B$40:$O$117,4,FALSE),0)</f>
        <v>1163.0033333333333</v>
      </c>
      <c r="F67" s="345">
        <f>IFERROR(VLOOKUP($B67,'[4]6-Hm Budget Total-FY21 (P&amp;L)'!$B$40:$O$117,5,FALSE),0)</f>
        <v>1143.0033333333333</v>
      </c>
      <c r="G67" s="345">
        <f>IFERROR(VLOOKUP($B67,'[4]6-Hm Budget Total-FY21 (P&amp;L)'!$B$40:$O$117,6,FALSE),0)</f>
        <v>1143.0033333333333</v>
      </c>
      <c r="H67" s="345">
        <f>IFERROR(VLOOKUP($B67,'[4]6-Hm Budget Total-FY21 (P&amp;L)'!$B$40:$O$117,7,FALSE),0)</f>
        <v>1233.0033333333333</v>
      </c>
      <c r="I67" s="345">
        <f>IFERROR(VLOOKUP($B67,'[4]6-Hm Budget Total-FY21 (P&amp;L)'!$B$40:$O$117,8,FALSE),0)</f>
        <v>1213.0033333333333</v>
      </c>
      <c r="J67" s="345">
        <f>IFERROR(VLOOKUP($B67,'[4]6-Hm Budget Total-FY21 (P&amp;L)'!$B$40:$O$117,9,FALSE),0)</f>
        <v>1192.0033333333333</v>
      </c>
      <c r="K67" s="345">
        <f>IFERROR(VLOOKUP($B67,'[4]6-Hm Budget Total-FY21 (P&amp;L)'!$B$40:$O$117,10,FALSE),0)</f>
        <v>1302.0033333333333</v>
      </c>
      <c r="L67" s="345">
        <f>IFERROR(VLOOKUP($B67,'[4]6-Hm Budget Total-FY21 (P&amp;L)'!$B$40:$O$117,11,FALSE),0)</f>
        <v>1172.0033333333333</v>
      </c>
      <c r="M67" s="345">
        <f>IFERROR(VLOOKUP($B67,'[4]6-Hm Budget Total-FY21 (P&amp;L)'!$B$40:$O$117,12,FALSE),0)</f>
        <v>1202.0033333333333</v>
      </c>
      <c r="N67" s="345">
        <f>IFERROR(VLOOKUP($B67,'[4]6-Hm Budget Total-FY21 (P&amp;L)'!$B$40:$O$117,13,FALSE),0)</f>
        <v>1172.0033333333333</v>
      </c>
      <c r="O67" s="345">
        <f>IFERROR(VLOOKUP($B67,'[4]6-Hm Budget Total-FY21 (P&amp;L)'!$B$40:$O$117,14,FALSE),0)</f>
        <v>902.00333333333333</v>
      </c>
      <c r="P67" s="357">
        <f t="shared" si="2"/>
        <v>13981</v>
      </c>
      <c r="Q67" s="345"/>
      <c r="R67" s="99"/>
      <c r="S67" s="348">
        <v>14281</v>
      </c>
      <c r="T67" s="349">
        <v>8975</v>
      </c>
      <c r="U67" s="351">
        <f>'[4]6-Hm Budget Total-FY21 (P&amp;L)'!T81</f>
        <v>9009.68</v>
      </c>
      <c r="V67" s="351">
        <f>'[4]6-Hm FY21 Budget Variance (P&amp;L)'!G85</f>
        <v>9669.68</v>
      </c>
    </row>
    <row r="68" spans="2:22" x14ac:dyDescent="0.2">
      <c r="B68" s="270" t="s">
        <v>322</v>
      </c>
      <c r="C68" s="363" t="s">
        <v>169</v>
      </c>
      <c r="D68" s="345">
        <f>IFERROR(VLOOKUP($B68,'[4]6-Hm Budget Total-FY21 (P&amp;L)'!$B$40:$O$117,3,FALSE),0)</f>
        <v>2200</v>
      </c>
      <c r="E68" s="345">
        <f>IFERROR(VLOOKUP($B68,'[4]6-Hm Budget Total-FY21 (P&amp;L)'!$B$40:$O$117,4,FALSE),0)</f>
        <v>2200</v>
      </c>
      <c r="F68" s="345">
        <f>IFERROR(VLOOKUP($B68,'[4]6-Hm Budget Total-FY21 (P&amp;L)'!$B$40:$O$117,5,FALSE),0)</f>
        <v>2200</v>
      </c>
      <c r="G68" s="345">
        <f>IFERROR(VLOOKUP($B68,'[4]6-Hm Budget Total-FY21 (P&amp;L)'!$B$40:$O$117,6,FALSE),0)</f>
        <v>2200</v>
      </c>
      <c r="H68" s="345">
        <f>IFERROR(VLOOKUP($B68,'[4]6-Hm Budget Total-FY21 (P&amp;L)'!$B$40:$O$117,7,FALSE),0)</f>
        <v>2200</v>
      </c>
      <c r="I68" s="345">
        <f>IFERROR(VLOOKUP($B68,'[4]6-Hm Budget Total-FY21 (P&amp;L)'!$B$40:$O$117,8,FALSE),0)</f>
        <v>2200</v>
      </c>
      <c r="J68" s="345">
        <f>IFERROR(VLOOKUP($B68,'[4]6-Hm Budget Total-FY21 (P&amp;L)'!$B$40:$O$117,9,FALSE),0)</f>
        <v>2200</v>
      </c>
      <c r="K68" s="345">
        <f>IFERROR(VLOOKUP($B68,'[4]6-Hm Budget Total-FY21 (P&amp;L)'!$B$40:$O$117,10,FALSE),0)</f>
        <v>2200</v>
      </c>
      <c r="L68" s="345">
        <f>IFERROR(VLOOKUP($B68,'[4]6-Hm Budget Total-FY21 (P&amp;L)'!$B$40:$O$117,11,FALSE),0)</f>
        <v>2200</v>
      </c>
      <c r="M68" s="345">
        <f>IFERROR(VLOOKUP($B68,'[4]6-Hm Budget Total-FY21 (P&amp;L)'!$B$40:$O$117,12,FALSE),0)</f>
        <v>2200</v>
      </c>
      <c r="N68" s="345">
        <f>IFERROR(VLOOKUP($B68,'[4]6-Hm Budget Total-FY21 (P&amp;L)'!$B$40:$O$117,13,FALSE),0)</f>
        <v>2200</v>
      </c>
      <c r="O68" s="345">
        <f>IFERROR(VLOOKUP($B68,'[4]6-Hm Budget Total-FY21 (P&amp;L)'!$B$40:$O$117,14,FALSE),0)</f>
        <v>2200</v>
      </c>
      <c r="P68" s="346">
        <f t="shared" si="2"/>
        <v>26400</v>
      </c>
      <c r="Q68" s="345"/>
      <c r="R68" s="99"/>
      <c r="S68" s="348">
        <v>26400</v>
      </c>
      <c r="T68" s="349">
        <v>22823</v>
      </c>
      <c r="U68" s="351">
        <f>'[4]6-Hm Budget Total-FY21 (P&amp;L)'!T83</f>
        <v>19000</v>
      </c>
      <c r="V68" s="351">
        <f>'[4]6-Hm FY21 Budget Variance (P&amp;L)'!G87</f>
        <v>22800</v>
      </c>
    </row>
    <row r="69" spans="2:22" x14ac:dyDescent="0.2">
      <c r="B69" s="369" t="s">
        <v>323</v>
      </c>
      <c r="C69" s="363" t="s">
        <v>324</v>
      </c>
      <c r="D69" s="345">
        <f>IFERROR(VLOOKUP($B69,'[4]6-Hm Budget Total-FY21 (P&amp;L)'!$B$40:$O$117,3,FALSE),0)</f>
        <v>781.66666666666652</v>
      </c>
      <c r="E69" s="345">
        <f>IFERROR(VLOOKUP($B69,'[4]6-Hm Budget Total-FY21 (P&amp;L)'!$B$40:$O$117,4,FALSE),0)</f>
        <v>681.66666666666652</v>
      </c>
      <c r="F69" s="345">
        <f>IFERROR(VLOOKUP($B69,'[4]6-Hm Budget Total-FY21 (P&amp;L)'!$B$40:$O$117,5,FALSE),0)</f>
        <v>836.16666666666652</v>
      </c>
      <c r="G69" s="345">
        <f>IFERROR(VLOOKUP($B69,'[4]6-Hm Budget Total-FY21 (P&amp;L)'!$B$40:$O$117,6,FALSE),0)</f>
        <v>681.66666666666652</v>
      </c>
      <c r="H69" s="345">
        <f>IFERROR(VLOOKUP($B69,'[4]6-Hm Budget Total-FY21 (P&amp;L)'!$B$40:$O$117,7,FALSE),0)</f>
        <v>631.66666666666652</v>
      </c>
      <c r="I69" s="345">
        <f>IFERROR(VLOOKUP($B69,'[4]6-Hm Budget Total-FY21 (P&amp;L)'!$B$40:$O$117,8,FALSE),0)</f>
        <v>706.66666666666652</v>
      </c>
      <c r="J69" s="345">
        <f>IFERROR(VLOOKUP($B69,'[4]6-Hm Budget Total-FY21 (P&amp;L)'!$B$40:$O$117,9,FALSE),0)</f>
        <v>631.66666666666652</v>
      </c>
      <c r="K69" s="345">
        <f>IFERROR(VLOOKUP($B69,'[4]6-Hm Budget Total-FY21 (P&amp;L)'!$B$40:$O$117,10,FALSE),0)</f>
        <v>711.16666666666652</v>
      </c>
      <c r="L69" s="345">
        <f>IFERROR(VLOOKUP($B69,'[4]6-Hm Budget Total-FY21 (P&amp;L)'!$B$40:$O$117,11,FALSE),0)</f>
        <v>856.66666666666652</v>
      </c>
      <c r="M69" s="345">
        <f>IFERROR(VLOOKUP($B69,'[4]6-Hm Budget Total-FY21 (P&amp;L)'!$B$40:$O$117,12,FALSE),0)</f>
        <v>781.66666666666652</v>
      </c>
      <c r="N69" s="345">
        <f>IFERROR(VLOOKUP($B69,'[4]6-Hm Budget Total-FY21 (P&amp;L)'!$B$40:$O$117,13,FALSE),0)</f>
        <v>831.66666666666652</v>
      </c>
      <c r="O69" s="345">
        <f>IFERROR(VLOOKUP($B69,'[4]6-Hm Budget Total-FY21 (P&amp;L)'!$B$40:$O$117,14,FALSE),0)</f>
        <v>986.16666666666652</v>
      </c>
      <c r="P69" s="346">
        <f t="shared" si="2"/>
        <v>9119</v>
      </c>
      <c r="Q69" s="345"/>
      <c r="R69" s="99"/>
      <c r="S69" s="348">
        <v>9419</v>
      </c>
      <c r="T69" s="349">
        <v>7719</v>
      </c>
      <c r="U69" s="351">
        <f>'[4]6-Hm Budget Total-FY21 (P&amp;L)'!T84</f>
        <v>8229.39</v>
      </c>
      <c r="V69" s="351">
        <f>'[4]6-Hm FY21 Budget Variance (P&amp;L)'!G88</f>
        <v>8754.39</v>
      </c>
    </row>
    <row r="70" spans="2:22" x14ac:dyDescent="0.2">
      <c r="B70" s="368" t="s">
        <v>325</v>
      </c>
      <c r="C70" s="363" t="s">
        <v>326</v>
      </c>
      <c r="D70" s="345">
        <f>IFERROR(VLOOKUP($B70,'[4]6-Hm Budget Total-FY21 (P&amp;L)'!$B$40:$O$117,3,FALSE),0)</f>
        <v>0</v>
      </c>
      <c r="E70" s="345">
        <f>IFERROR(VLOOKUP($B70,'[4]6-Hm Budget Total-FY21 (P&amp;L)'!$B$40:$O$117,4,FALSE),0)</f>
        <v>0</v>
      </c>
      <c r="F70" s="345">
        <f>IFERROR(VLOOKUP($B70,'[4]6-Hm Budget Total-FY21 (P&amp;L)'!$B$40:$O$117,5,FALSE),0)</f>
        <v>0</v>
      </c>
      <c r="G70" s="345">
        <f>IFERROR(VLOOKUP($B70,'[4]6-Hm Budget Total-FY21 (P&amp;L)'!$B$40:$O$117,6,FALSE),0)</f>
        <v>250</v>
      </c>
      <c r="H70" s="345">
        <f>IFERROR(VLOOKUP($B70,'[4]6-Hm Budget Total-FY21 (P&amp;L)'!$B$40:$O$117,7,FALSE),0)</f>
        <v>250</v>
      </c>
      <c r="I70" s="345">
        <f>IFERROR(VLOOKUP($B70,'[4]6-Hm Budget Total-FY21 (P&amp;L)'!$B$40:$O$117,8,FALSE),0)</f>
        <v>250</v>
      </c>
      <c r="J70" s="345">
        <f>IFERROR(VLOOKUP($B70,'[4]6-Hm Budget Total-FY21 (P&amp;L)'!$B$40:$O$117,9,FALSE),0)</f>
        <v>250</v>
      </c>
      <c r="K70" s="345">
        <f>IFERROR(VLOOKUP($B70,'[4]6-Hm Budget Total-FY21 (P&amp;L)'!$B$40:$O$117,10,FALSE),0)</f>
        <v>250</v>
      </c>
      <c r="L70" s="345">
        <f>IFERROR(VLOOKUP($B70,'[4]6-Hm Budget Total-FY21 (P&amp;L)'!$B$40:$O$117,11,FALSE),0)</f>
        <v>250</v>
      </c>
      <c r="M70" s="345">
        <f>IFERROR(VLOOKUP($B70,'[4]6-Hm Budget Total-FY21 (P&amp;L)'!$B$40:$O$117,12,FALSE),0)</f>
        <v>250</v>
      </c>
      <c r="N70" s="345">
        <f>IFERROR(VLOOKUP($B70,'[4]6-Hm Budget Total-FY21 (P&amp;L)'!$B$40:$O$117,13,FALSE),0)</f>
        <v>250</v>
      </c>
      <c r="O70" s="345">
        <f>IFERROR(VLOOKUP($B70,'[4]6-Hm Budget Total-FY21 (P&amp;L)'!$B$40:$O$117,14,FALSE),0)</f>
        <v>250</v>
      </c>
      <c r="P70" s="346">
        <f t="shared" si="2"/>
        <v>2250</v>
      </c>
      <c r="Q70" s="345"/>
      <c r="R70" s="99"/>
      <c r="S70" s="348">
        <v>2250</v>
      </c>
      <c r="T70" s="349">
        <v>1000</v>
      </c>
      <c r="U70" s="351">
        <f>'[4]6-Hm Budget Total-FY21 (P&amp;L)'!T85</f>
        <v>1131.32</v>
      </c>
      <c r="V70" s="351">
        <f>'[4]6-Hm FY21 Budget Variance (P&amp;L)'!G89</f>
        <v>1556.32</v>
      </c>
    </row>
    <row r="71" spans="2:22" x14ac:dyDescent="0.2">
      <c r="B71" s="268">
        <v>5106</v>
      </c>
      <c r="C71" s="363" t="s">
        <v>170</v>
      </c>
      <c r="D71" s="345">
        <f>IFERROR(VLOOKUP($B71,'[4]6-Hm Budget Total-FY21 (P&amp;L)'!$B$40:$O$117,3,FALSE),0)</f>
        <v>500</v>
      </c>
      <c r="E71" s="345">
        <f>IFERROR(VLOOKUP($B71,'[4]6-Hm Budget Total-FY21 (P&amp;L)'!$B$40:$O$117,4,FALSE),0)</f>
        <v>500</v>
      </c>
      <c r="F71" s="345">
        <f>IFERROR(VLOOKUP($B71,'[4]6-Hm Budget Total-FY21 (P&amp;L)'!$B$40:$O$117,5,FALSE),0)</f>
        <v>500</v>
      </c>
      <c r="G71" s="345">
        <f>IFERROR(VLOOKUP($B71,'[4]6-Hm Budget Total-FY21 (P&amp;L)'!$B$40:$O$117,6,FALSE),0)</f>
        <v>500</v>
      </c>
      <c r="H71" s="345">
        <f>IFERROR(VLOOKUP($B71,'[4]6-Hm Budget Total-FY21 (P&amp;L)'!$B$40:$O$117,7,FALSE),0)</f>
        <v>500</v>
      </c>
      <c r="I71" s="345">
        <f>IFERROR(VLOOKUP($B71,'[4]6-Hm Budget Total-FY21 (P&amp;L)'!$B$40:$O$117,8,FALSE),0)</f>
        <v>500</v>
      </c>
      <c r="J71" s="345">
        <f>IFERROR(VLOOKUP($B71,'[4]6-Hm Budget Total-FY21 (P&amp;L)'!$B$40:$O$117,9,FALSE),0)</f>
        <v>500</v>
      </c>
      <c r="K71" s="345">
        <f>IFERROR(VLOOKUP($B71,'[4]6-Hm Budget Total-FY21 (P&amp;L)'!$B$40:$O$117,10,FALSE),0)</f>
        <v>500</v>
      </c>
      <c r="L71" s="345">
        <f>IFERROR(VLOOKUP($B71,'[4]6-Hm Budget Total-FY21 (P&amp;L)'!$B$40:$O$117,11,FALSE),0)</f>
        <v>700</v>
      </c>
      <c r="M71" s="345">
        <f>IFERROR(VLOOKUP($B71,'[4]6-Hm Budget Total-FY21 (P&amp;L)'!$B$40:$O$117,12,FALSE),0)</f>
        <v>700</v>
      </c>
      <c r="N71" s="345">
        <f>IFERROR(VLOOKUP($B71,'[4]6-Hm Budget Total-FY21 (P&amp;L)'!$B$40:$O$117,13,FALSE),0)</f>
        <v>700</v>
      </c>
      <c r="O71" s="345">
        <f>IFERROR(VLOOKUP($B71,'[4]6-Hm Budget Total-FY21 (P&amp;L)'!$B$40:$O$117,14,FALSE),0)</f>
        <v>700</v>
      </c>
      <c r="P71" s="346">
        <f t="shared" si="2"/>
        <v>6800</v>
      </c>
      <c r="Q71" s="345"/>
      <c r="R71" s="99"/>
      <c r="S71" s="348">
        <v>6800</v>
      </c>
      <c r="T71" s="349">
        <v>5000</v>
      </c>
      <c r="U71" s="351">
        <f>'[4]6-Hm Budget Total-FY21 (P&amp;L)'!T86</f>
        <v>5375.88</v>
      </c>
      <c r="V71" s="351">
        <f>'[4]6-Hm FY21 Budget Variance (P&amp;L)'!G90</f>
        <v>5775.88</v>
      </c>
    </row>
    <row r="72" spans="2:22" x14ac:dyDescent="0.2">
      <c r="B72" s="270" t="s">
        <v>327</v>
      </c>
      <c r="C72" s="363" t="s">
        <v>171</v>
      </c>
      <c r="D72" s="345">
        <f>IFERROR(VLOOKUP($B72,'[4]6-Hm Budget Total-FY21 (P&amp;L)'!$B$40:$O$117,3,FALSE),0)</f>
        <v>13921.039999999999</v>
      </c>
      <c r="E72" s="345">
        <f>IFERROR(VLOOKUP($B72,'[4]6-Hm Budget Total-FY21 (P&amp;L)'!$B$40:$O$117,4,FALSE),0)</f>
        <v>13921.039999999999</v>
      </c>
      <c r="F72" s="345">
        <f>IFERROR(VLOOKUP($B72,'[4]6-Hm Budget Total-FY21 (P&amp;L)'!$B$40:$O$117,5,FALSE),0)</f>
        <v>13921.039999999999</v>
      </c>
      <c r="G72" s="345">
        <f>IFERROR(VLOOKUP($B72,'[4]6-Hm Budget Total-FY21 (P&amp;L)'!$B$40:$O$117,6,FALSE),0)</f>
        <v>13921.039999999999</v>
      </c>
      <c r="H72" s="345">
        <f>IFERROR(VLOOKUP($B72,'[4]6-Hm Budget Total-FY21 (P&amp;L)'!$B$40:$O$117,7,FALSE),0)</f>
        <v>13921.039999999999</v>
      </c>
      <c r="I72" s="345">
        <f>IFERROR(VLOOKUP($B72,'[4]6-Hm Budget Total-FY21 (P&amp;L)'!$B$40:$O$117,8,FALSE),0)</f>
        <v>13921.039999999999</v>
      </c>
      <c r="J72" s="345">
        <f>IFERROR(VLOOKUP($B72,'[4]6-Hm Budget Total-FY21 (P&amp;L)'!$B$40:$O$117,9,FALSE),0)</f>
        <v>14552.217279999999</v>
      </c>
      <c r="K72" s="345">
        <f>IFERROR(VLOOKUP($B72,'[4]6-Hm Budget Total-FY21 (P&amp;L)'!$B$40:$O$117,10,FALSE),0)</f>
        <v>14552.217279999999</v>
      </c>
      <c r="L72" s="345">
        <f>IFERROR(VLOOKUP($B72,'[4]6-Hm Budget Total-FY21 (P&amp;L)'!$B$40:$O$117,11,FALSE),0)</f>
        <v>14552.217279999999</v>
      </c>
      <c r="M72" s="345">
        <f>IFERROR(VLOOKUP($B72,'[4]6-Hm Budget Total-FY21 (P&amp;L)'!$B$40:$O$117,12,FALSE),0)</f>
        <v>16445.751839999997</v>
      </c>
      <c r="N72" s="345">
        <f>IFERROR(VLOOKUP($B72,'[4]6-Hm Budget Total-FY21 (P&amp;L)'!$B$40:$O$117,13,FALSE),0)</f>
        <v>16445.751839999997</v>
      </c>
      <c r="O72" s="345">
        <f>IFERROR(VLOOKUP($B72,'[4]6-Hm Budget Total-FY21 (P&amp;L)'!$B$40:$O$117,14,FALSE),0)</f>
        <v>16445.751839999997</v>
      </c>
      <c r="P72" s="357">
        <f t="shared" si="2"/>
        <v>176521</v>
      </c>
      <c r="Q72" s="345"/>
      <c r="R72" s="99"/>
      <c r="S72" s="348">
        <v>189194</v>
      </c>
      <c r="T72" s="349">
        <v>179919</v>
      </c>
      <c r="U72" s="351">
        <f>'[4]6-Hm Budget Total-FY21 (P&amp;L)'!T87</f>
        <v>121962.59000000001</v>
      </c>
      <c r="V72" s="351">
        <f>'[4]6-Hm FY21 Budget Variance (P&amp;L)'!G92</f>
        <v>146336.59000000003</v>
      </c>
    </row>
    <row r="73" spans="2:22" x14ac:dyDescent="0.2">
      <c r="B73" s="369" t="s">
        <v>328</v>
      </c>
      <c r="C73" s="363" t="s">
        <v>329</v>
      </c>
      <c r="D73" s="345">
        <f>IFERROR(VLOOKUP($B73,'[4]6-Hm Budget Total-FY21 (P&amp;L)'!$B$40:$O$117,3,FALSE),0)</f>
        <v>525</v>
      </c>
      <c r="E73" s="345">
        <f>IFERROR(VLOOKUP($B73,'[4]6-Hm Budget Total-FY21 (P&amp;L)'!$B$40:$O$117,4,FALSE),0)</f>
        <v>525</v>
      </c>
      <c r="F73" s="345">
        <f>IFERROR(VLOOKUP($B73,'[4]6-Hm Budget Total-FY21 (P&amp;L)'!$B$40:$O$117,5,FALSE),0)</f>
        <v>525</v>
      </c>
      <c r="G73" s="345">
        <f>IFERROR(VLOOKUP($B73,'[4]6-Hm Budget Total-FY21 (P&amp;L)'!$B$40:$O$117,6,FALSE),0)</f>
        <v>525</v>
      </c>
      <c r="H73" s="345">
        <f>IFERROR(VLOOKUP($B73,'[4]6-Hm Budget Total-FY21 (P&amp;L)'!$B$40:$O$117,7,FALSE),0)</f>
        <v>525</v>
      </c>
      <c r="I73" s="345">
        <f>IFERROR(VLOOKUP($B73,'[4]6-Hm Budget Total-FY21 (P&amp;L)'!$B$40:$O$117,8,FALSE),0)</f>
        <v>525</v>
      </c>
      <c r="J73" s="345">
        <f>IFERROR(VLOOKUP($B73,'[4]6-Hm Budget Total-FY21 (P&amp;L)'!$B$40:$O$117,9,FALSE),0)</f>
        <v>525</v>
      </c>
      <c r="K73" s="345">
        <f>IFERROR(VLOOKUP($B73,'[4]6-Hm Budget Total-FY21 (P&amp;L)'!$B$40:$O$117,10,FALSE),0)</f>
        <v>525</v>
      </c>
      <c r="L73" s="345">
        <f>IFERROR(VLOOKUP($B73,'[4]6-Hm Budget Total-FY21 (P&amp;L)'!$B$40:$O$117,11,FALSE),0)</f>
        <v>525</v>
      </c>
      <c r="M73" s="345">
        <f>IFERROR(VLOOKUP($B73,'[4]6-Hm Budget Total-FY21 (P&amp;L)'!$B$40:$O$117,12,FALSE),0)</f>
        <v>525</v>
      </c>
      <c r="N73" s="345">
        <f>IFERROR(VLOOKUP($B73,'[4]6-Hm Budget Total-FY21 (P&amp;L)'!$B$40:$O$117,13,FALSE),0)</f>
        <v>525</v>
      </c>
      <c r="O73" s="345">
        <f>IFERROR(VLOOKUP($B73,'[4]6-Hm Budget Total-FY21 (P&amp;L)'!$B$40:$O$117,14,FALSE),0)</f>
        <v>525</v>
      </c>
      <c r="P73" s="357">
        <f t="shared" si="2"/>
        <v>6300</v>
      </c>
      <c r="Q73" s="345"/>
      <c r="R73" s="99"/>
      <c r="S73" s="348">
        <v>6300</v>
      </c>
      <c r="T73" s="349">
        <v>5400</v>
      </c>
      <c r="U73" s="351">
        <f>'[4]6-Hm Budget Total-FY21 (P&amp;L)'!T88</f>
        <v>4733.68</v>
      </c>
      <c r="V73" s="351">
        <f>'[4]6-Hm FY21 Budget Variance (P&amp;L)'!G93</f>
        <v>5733.68</v>
      </c>
    </row>
    <row r="74" spans="2:22" x14ac:dyDescent="0.2">
      <c r="B74" s="268">
        <v>5110</v>
      </c>
      <c r="C74" s="363" t="s">
        <v>173</v>
      </c>
      <c r="D74" s="345">
        <f>IFERROR(VLOOKUP($B74,'[4]6-Hm Budget Total-FY21 (P&amp;L)'!$B$40:$O$117,3,FALSE),0)</f>
        <v>25</v>
      </c>
      <c r="E74" s="345">
        <f>IFERROR(VLOOKUP($B74,'[4]6-Hm Budget Total-FY21 (P&amp;L)'!$B$40:$O$117,4,FALSE),0)</f>
        <v>0</v>
      </c>
      <c r="F74" s="345">
        <f>IFERROR(VLOOKUP($B74,'[4]6-Hm Budget Total-FY21 (P&amp;L)'!$B$40:$O$117,5,FALSE),0)</f>
        <v>0</v>
      </c>
      <c r="G74" s="345">
        <f>IFERROR(VLOOKUP($B74,'[4]6-Hm Budget Total-FY21 (P&amp;L)'!$B$40:$O$117,6,FALSE),0)</f>
        <v>25</v>
      </c>
      <c r="H74" s="345">
        <f>IFERROR(VLOOKUP($B74,'[4]6-Hm Budget Total-FY21 (P&amp;L)'!$B$40:$O$117,7,FALSE),0)</f>
        <v>0</v>
      </c>
      <c r="I74" s="345">
        <f>IFERROR(VLOOKUP($B74,'[4]6-Hm Budget Total-FY21 (P&amp;L)'!$B$40:$O$117,8,FALSE),0)</f>
        <v>0</v>
      </c>
      <c r="J74" s="345">
        <f>IFERROR(VLOOKUP($B74,'[4]6-Hm Budget Total-FY21 (P&amp;L)'!$B$40:$O$117,9,FALSE),0)</f>
        <v>25</v>
      </c>
      <c r="K74" s="345">
        <f>IFERROR(VLOOKUP($B74,'[4]6-Hm Budget Total-FY21 (P&amp;L)'!$B$40:$O$117,10,FALSE),0)</f>
        <v>0</v>
      </c>
      <c r="L74" s="345">
        <f>IFERROR(VLOOKUP($B74,'[4]6-Hm Budget Total-FY21 (P&amp;L)'!$B$40:$O$117,11,FALSE),0)</f>
        <v>0</v>
      </c>
      <c r="M74" s="345">
        <f>IFERROR(VLOOKUP($B74,'[4]6-Hm Budget Total-FY21 (P&amp;L)'!$B$40:$O$117,12,FALSE),0)</f>
        <v>25</v>
      </c>
      <c r="N74" s="345">
        <f>IFERROR(VLOOKUP($B74,'[4]6-Hm Budget Total-FY21 (P&amp;L)'!$B$40:$O$117,13,FALSE),0)</f>
        <v>0</v>
      </c>
      <c r="O74" s="345">
        <f>IFERROR(VLOOKUP($B74,'[4]6-Hm Budget Total-FY21 (P&amp;L)'!$B$40:$O$117,14,FALSE),0)</f>
        <v>0</v>
      </c>
      <c r="P74" s="346">
        <f t="shared" si="2"/>
        <v>100</v>
      </c>
      <c r="Q74" s="345"/>
      <c r="R74" s="99"/>
      <c r="S74" s="348">
        <v>100</v>
      </c>
      <c r="T74" s="349">
        <v>0</v>
      </c>
      <c r="U74" s="351">
        <f>'[4]6-Hm Budget Total-FY21 (P&amp;L)'!T89</f>
        <v>13267.25</v>
      </c>
      <c r="V74" s="351">
        <f>'[4]6-Hm FY21 Budget Variance (P&amp;L)'!G94</f>
        <v>19267.25</v>
      </c>
    </row>
    <row r="75" spans="2:22" x14ac:dyDescent="0.2">
      <c r="B75" s="270" t="s">
        <v>330</v>
      </c>
      <c r="C75" s="363" t="s">
        <v>174</v>
      </c>
      <c r="D75" s="345">
        <f>IFERROR(VLOOKUP($B75,'[4]6-Hm Budget Total-FY21 (P&amp;L)'!$B$40:$O$117,3,FALSE),0)</f>
        <v>441.66666666666669</v>
      </c>
      <c r="E75" s="345">
        <f>IFERROR(VLOOKUP($B75,'[4]6-Hm Budget Total-FY21 (P&amp;L)'!$B$40:$O$117,4,FALSE),0)</f>
        <v>476.66666666666669</v>
      </c>
      <c r="F75" s="345">
        <f>IFERROR(VLOOKUP($B75,'[4]6-Hm Budget Total-FY21 (P&amp;L)'!$B$40:$O$117,5,FALSE),0)</f>
        <v>401.66666666666669</v>
      </c>
      <c r="G75" s="345">
        <f>IFERROR(VLOOKUP($B75,'[4]6-Hm Budget Total-FY21 (P&amp;L)'!$B$40:$O$117,6,FALSE),0)</f>
        <v>491.66666666666669</v>
      </c>
      <c r="H75" s="345">
        <f>IFERROR(VLOOKUP($B75,'[4]6-Hm Budget Total-FY21 (P&amp;L)'!$B$40:$O$117,7,FALSE),0)</f>
        <v>476.66666666666669</v>
      </c>
      <c r="I75" s="345">
        <f>IFERROR(VLOOKUP($B75,'[4]6-Hm Budget Total-FY21 (P&amp;L)'!$B$40:$O$117,8,FALSE),0)</f>
        <v>523.66666666666674</v>
      </c>
      <c r="J75" s="345">
        <f>IFERROR(VLOOKUP($B75,'[4]6-Hm Budget Total-FY21 (P&amp;L)'!$B$40:$O$117,9,FALSE),0)</f>
        <v>471.66666666666669</v>
      </c>
      <c r="K75" s="345">
        <f>IFERROR(VLOOKUP($B75,'[4]6-Hm Budget Total-FY21 (P&amp;L)'!$B$40:$O$117,10,FALSE),0)</f>
        <v>806.66666666666674</v>
      </c>
      <c r="L75" s="345">
        <f>IFERROR(VLOOKUP($B75,'[4]6-Hm Budget Total-FY21 (P&amp;L)'!$B$40:$O$117,11,FALSE),0)</f>
        <v>431.66666666666669</v>
      </c>
      <c r="M75" s="345">
        <f>IFERROR(VLOOKUP($B75,'[4]6-Hm Budget Total-FY21 (P&amp;L)'!$B$40:$O$117,12,FALSE),0)</f>
        <v>441.66666666666669</v>
      </c>
      <c r="N75" s="345">
        <f>IFERROR(VLOOKUP($B75,'[4]6-Hm Budget Total-FY21 (P&amp;L)'!$B$40:$O$117,13,FALSE),0)</f>
        <v>591.66666666666674</v>
      </c>
      <c r="O75" s="345">
        <f>IFERROR(VLOOKUP($B75,'[4]6-Hm Budget Total-FY21 (P&amp;L)'!$B$40:$O$117,14,FALSE),0)</f>
        <v>493.66666666666669</v>
      </c>
      <c r="P75" s="346">
        <f t="shared" si="2"/>
        <v>6049</v>
      </c>
      <c r="Q75" s="345"/>
      <c r="R75" s="99"/>
      <c r="S75" s="348">
        <v>6049</v>
      </c>
      <c r="T75" s="349">
        <v>4000</v>
      </c>
      <c r="U75" s="351">
        <f>'[4]6-Hm Budget Total-FY21 (P&amp;L)'!T90</f>
        <v>2809.7799999999997</v>
      </c>
      <c r="V75" s="351">
        <f>'[4]6-Hm FY21 Budget Variance (P&amp;L)'!G95</f>
        <v>3009.7799999999997</v>
      </c>
    </row>
    <row r="76" spans="2:22" x14ac:dyDescent="0.2">
      <c r="B76" s="369" t="s">
        <v>331</v>
      </c>
      <c r="C76" s="363" t="s">
        <v>175</v>
      </c>
      <c r="D76" s="345">
        <f>IFERROR(VLOOKUP($B76,'[4]6-Hm Budget Total-FY21 (P&amp;L)'!$B$40:$O$117,3,FALSE),0)</f>
        <v>4793.333333333333</v>
      </c>
      <c r="E76" s="345">
        <f>IFERROR(VLOOKUP($B76,'[4]6-Hm Budget Total-FY21 (P&amp;L)'!$B$40:$O$117,4,FALSE),0)</f>
        <v>478.33333333333337</v>
      </c>
      <c r="F76" s="345">
        <f>IFERROR(VLOOKUP($B76,'[4]6-Hm Budget Total-FY21 (P&amp;L)'!$B$40:$O$117,5,FALSE),0)</f>
        <v>1133.3333333333335</v>
      </c>
      <c r="G76" s="345">
        <f>IFERROR(VLOOKUP($B76,'[4]6-Hm Budget Total-FY21 (P&amp;L)'!$B$40:$O$117,6,FALSE),0)</f>
        <v>3543.3333333333335</v>
      </c>
      <c r="H76" s="345">
        <f>IFERROR(VLOOKUP($B76,'[4]6-Hm Budget Total-FY21 (P&amp;L)'!$B$40:$O$117,7,FALSE),0)</f>
        <v>648.33333333333337</v>
      </c>
      <c r="I76" s="345">
        <f>IFERROR(VLOOKUP($B76,'[4]6-Hm Budget Total-FY21 (P&amp;L)'!$B$40:$O$117,8,FALSE),0)</f>
        <v>2850.8333333333335</v>
      </c>
      <c r="J76" s="345">
        <f>IFERROR(VLOOKUP($B76,'[4]6-Hm Budget Total-FY21 (P&amp;L)'!$B$40:$O$117,9,FALSE),0)</f>
        <v>1488.3333333333335</v>
      </c>
      <c r="K76" s="345">
        <f>IFERROR(VLOOKUP($B76,'[4]6-Hm Budget Total-FY21 (P&amp;L)'!$B$40:$O$117,10,FALSE),0)</f>
        <v>3303.3333333333335</v>
      </c>
      <c r="L76" s="345">
        <f>IFERROR(VLOOKUP($B76,'[4]6-Hm Budget Total-FY21 (P&amp;L)'!$B$40:$O$117,11,FALSE),0)</f>
        <v>710.83333333333337</v>
      </c>
      <c r="M76" s="345">
        <f>IFERROR(VLOOKUP($B76,'[4]6-Hm Budget Total-FY21 (P&amp;L)'!$B$40:$O$117,12,FALSE),0)</f>
        <v>3083.3333333333335</v>
      </c>
      <c r="N76" s="345">
        <f>IFERROR(VLOOKUP($B76,'[4]6-Hm Budget Total-FY21 (P&amp;L)'!$B$40:$O$117,13,FALSE),0)</f>
        <v>3238.3333333333335</v>
      </c>
      <c r="O76" s="345">
        <f>IFERROR(VLOOKUP($B76,'[4]6-Hm Budget Total-FY21 (P&amp;L)'!$B$40:$O$117,14,FALSE),0)</f>
        <v>638.33333333333337</v>
      </c>
      <c r="P76" s="357">
        <f t="shared" si="2"/>
        <v>25910</v>
      </c>
      <c r="Q76" s="345"/>
      <c r="R76" s="99"/>
      <c r="S76" s="348">
        <v>25910</v>
      </c>
      <c r="T76" s="349">
        <v>23880</v>
      </c>
      <c r="U76" s="351">
        <f>'[4]6-Hm Budget Total-FY21 (P&amp;L)'!T91</f>
        <v>12812.64</v>
      </c>
      <c r="V76" s="351">
        <f>'[4]6-Hm FY21 Budget Variance (P&amp;L)'!G96</f>
        <v>15382.64</v>
      </c>
    </row>
    <row r="77" spans="2:22" x14ac:dyDescent="0.2">
      <c r="B77" s="268">
        <v>5209</v>
      </c>
      <c r="C77" s="363" t="s">
        <v>463</v>
      </c>
      <c r="D77" s="345">
        <f>IFERROR(VLOOKUP($B77,'[4]6-Hm Budget Total-FY21 (P&amp;L)'!$B$40:$O$117,3,FALSE),0)</f>
        <v>0</v>
      </c>
      <c r="E77" s="345">
        <f>IFERROR(VLOOKUP($B77,'[4]6-Hm Budget Total-FY21 (P&amp;L)'!$B$40:$O$117,4,FALSE),0)</f>
        <v>0</v>
      </c>
      <c r="F77" s="345">
        <f>IFERROR(VLOOKUP($B77,'[4]6-Hm Budget Total-FY21 (P&amp;L)'!$B$40:$O$117,5,FALSE),0)</f>
        <v>150</v>
      </c>
      <c r="G77" s="345">
        <f>IFERROR(VLOOKUP($B77,'[4]6-Hm Budget Total-FY21 (P&amp;L)'!$B$40:$O$117,6,FALSE),0)</f>
        <v>147</v>
      </c>
      <c r="H77" s="345">
        <f>IFERROR(VLOOKUP($B77,'[4]6-Hm Budget Total-FY21 (P&amp;L)'!$B$40:$O$117,7,FALSE),0)</f>
        <v>0</v>
      </c>
      <c r="I77" s="345">
        <f>IFERROR(VLOOKUP($B77,'[4]6-Hm Budget Total-FY21 (P&amp;L)'!$B$40:$O$117,8,FALSE),0)</f>
        <v>110</v>
      </c>
      <c r="J77" s="345">
        <f>IFERROR(VLOOKUP($B77,'[4]6-Hm Budget Total-FY21 (P&amp;L)'!$B$40:$O$117,9,FALSE),0)</f>
        <v>200</v>
      </c>
      <c r="K77" s="345">
        <f>IFERROR(VLOOKUP($B77,'[4]6-Hm Budget Total-FY21 (P&amp;L)'!$B$40:$O$117,10,FALSE),0)</f>
        <v>0</v>
      </c>
      <c r="L77" s="345">
        <f>IFERROR(VLOOKUP($B77,'[4]6-Hm Budget Total-FY21 (P&amp;L)'!$B$40:$O$117,11,FALSE),0)</f>
        <v>0</v>
      </c>
      <c r="M77" s="345">
        <f>IFERROR(VLOOKUP($B77,'[4]6-Hm Budget Total-FY21 (P&amp;L)'!$B$40:$O$117,12,FALSE),0)</f>
        <v>0</v>
      </c>
      <c r="N77" s="345">
        <f>IFERROR(VLOOKUP($B77,'[4]6-Hm Budget Total-FY21 (P&amp;L)'!$B$40:$O$117,13,FALSE),0)</f>
        <v>55</v>
      </c>
      <c r="O77" s="345">
        <f>IFERROR(VLOOKUP($B77,'[4]6-Hm Budget Total-FY21 (P&amp;L)'!$B$40:$O$117,14,FALSE),0)</f>
        <v>0</v>
      </c>
      <c r="P77" s="357">
        <f t="shared" si="2"/>
        <v>662</v>
      </c>
      <c r="Q77" s="345"/>
      <c r="R77" s="99"/>
      <c r="S77" s="348">
        <v>662</v>
      </c>
      <c r="T77" s="349">
        <v>1010</v>
      </c>
      <c r="U77" s="351">
        <f>'[4]6-Hm Budget Total-FY21 (P&amp;L)'!T92</f>
        <v>817.75</v>
      </c>
      <c r="V77" s="351">
        <f>'[4]6-Hm FY21 Budget Variance (P&amp;L)'!G97</f>
        <v>817.75</v>
      </c>
    </row>
    <row r="78" spans="2:22" x14ac:dyDescent="0.2">
      <c r="B78" s="368">
        <v>8440</v>
      </c>
      <c r="C78" s="363" t="s">
        <v>177</v>
      </c>
      <c r="D78" s="345">
        <f>IFERROR(VLOOKUP($B78,'[4]6-Hm Budget Total-FY21 (P&amp;L)'!$B$40:$O$117,3,FALSE),0)</f>
        <v>399</v>
      </c>
      <c r="E78" s="345">
        <f>IFERROR(VLOOKUP($B78,'[4]6-Hm Budget Total-FY21 (P&amp;L)'!$B$40:$O$117,4,FALSE),0)</f>
        <v>199</v>
      </c>
      <c r="F78" s="345">
        <f>IFERROR(VLOOKUP($B78,'[4]6-Hm Budget Total-FY21 (P&amp;L)'!$B$40:$O$117,5,FALSE),0)</f>
        <v>1079</v>
      </c>
      <c r="G78" s="345">
        <f>IFERROR(VLOOKUP($B78,'[4]6-Hm Budget Total-FY21 (P&amp;L)'!$B$40:$O$117,6,FALSE),0)</f>
        <v>199</v>
      </c>
      <c r="H78" s="345">
        <f>IFERROR(VLOOKUP($B78,'[4]6-Hm Budget Total-FY21 (P&amp;L)'!$B$40:$O$117,7,FALSE),0)</f>
        <v>299</v>
      </c>
      <c r="I78" s="345">
        <f>IFERROR(VLOOKUP($B78,'[4]6-Hm Budget Total-FY21 (P&amp;L)'!$B$40:$O$117,8,FALSE),0)</f>
        <v>3299</v>
      </c>
      <c r="J78" s="345">
        <f>IFERROR(VLOOKUP($B78,'[4]6-Hm Budget Total-FY21 (P&amp;L)'!$B$40:$O$117,9,FALSE),0)</f>
        <v>199</v>
      </c>
      <c r="K78" s="345">
        <f>IFERROR(VLOOKUP($B78,'[4]6-Hm Budget Total-FY21 (P&amp;L)'!$B$40:$O$117,10,FALSE),0)</f>
        <v>849</v>
      </c>
      <c r="L78" s="345">
        <f>IFERROR(VLOOKUP($B78,'[4]6-Hm Budget Total-FY21 (P&amp;L)'!$B$40:$O$117,11,FALSE),0)</f>
        <v>499</v>
      </c>
      <c r="M78" s="345">
        <f>IFERROR(VLOOKUP($B78,'[4]6-Hm Budget Total-FY21 (P&amp;L)'!$B$40:$O$117,12,FALSE),0)</f>
        <v>1499</v>
      </c>
      <c r="N78" s="345">
        <f>IFERROR(VLOOKUP($B78,'[4]6-Hm Budget Total-FY21 (P&amp;L)'!$B$40:$O$117,13,FALSE),0)</f>
        <v>2249</v>
      </c>
      <c r="O78" s="345">
        <f>IFERROR(VLOOKUP($B78,'[4]6-Hm Budget Total-FY21 (P&amp;L)'!$B$40:$O$117,14,FALSE),0)</f>
        <v>1099</v>
      </c>
      <c r="P78" s="357">
        <f t="shared" si="2"/>
        <v>11868</v>
      </c>
      <c r="Q78" s="345"/>
      <c r="R78" s="99"/>
      <c r="S78" s="348">
        <v>11868</v>
      </c>
      <c r="T78" s="349">
        <v>16083</v>
      </c>
      <c r="U78" s="351">
        <f>'[4]6-Hm Budget Total-FY21 (P&amp;L)'!T93</f>
        <v>6217.43</v>
      </c>
      <c r="V78" s="351">
        <f>'[4]6-Hm FY21 Budget Variance (P&amp;L)'!G98</f>
        <v>6415.43</v>
      </c>
    </row>
    <row r="79" spans="2:22" x14ac:dyDescent="0.2">
      <c r="B79" s="268">
        <v>5202</v>
      </c>
      <c r="C79" s="363" t="s">
        <v>178</v>
      </c>
      <c r="D79" s="345">
        <f>IFERROR(VLOOKUP($B79,'[4]6-Hm Budget Total-FY21 (P&amp;L)'!$B$40:$O$117,3,FALSE),0)</f>
        <v>0</v>
      </c>
      <c r="E79" s="345">
        <f>IFERROR(VLOOKUP($B79,'[4]6-Hm Budget Total-FY21 (P&amp;L)'!$B$40:$O$117,4,FALSE),0)</f>
        <v>0</v>
      </c>
      <c r="F79" s="345">
        <f>IFERROR(VLOOKUP($B79,'[4]6-Hm Budget Total-FY21 (P&amp;L)'!$B$40:$O$117,5,FALSE),0)</f>
        <v>0</v>
      </c>
      <c r="G79" s="345">
        <f>IFERROR(VLOOKUP($B79,'[4]6-Hm Budget Total-FY21 (P&amp;L)'!$B$40:$O$117,6,FALSE),0)</f>
        <v>0</v>
      </c>
      <c r="H79" s="345">
        <f>IFERROR(VLOOKUP($B79,'[4]6-Hm Budget Total-FY21 (P&amp;L)'!$B$40:$O$117,7,FALSE),0)</f>
        <v>0</v>
      </c>
      <c r="I79" s="345">
        <f>IFERROR(VLOOKUP($B79,'[4]6-Hm Budget Total-FY21 (P&amp;L)'!$B$40:$O$117,8,FALSE),0)</f>
        <v>0</v>
      </c>
      <c r="J79" s="345">
        <f>IFERROR(VLOOKUP($B79,'[4]6-Hm Budget Total-FY21 (P&amp;L)'!$B$40:$O$117,9,FALSE),0)</f>
        <v>0</v>
      </c>
      <c r="K79" s="345">
        <f>IFERROR(VLOOKUP($B79,'[4]6-Hm Budget Total-FY21 (P&amp;L)'!$B$40:$O$117,10,FALSE),0)</f>
        <v>0</v>
      </c>
      <c r="L79" s="345">
        <f>IFERROR(VLOOKUP($B79,'[4]6-Hm Budget Total-FY21 (P&amp;L)'!$B$40:$O$117,11,FALSE),0)</f>
        <v>0</v>
      </c>
      <c r="M79" s="345">
        <f>IFERROR(VLOOKUP($B79,'[4]6-Hm Budget Total-FY21 (P&amp;L)'!$B$40:$O$117,12,FALSE),0)</f>
        <v>575</v>
      </c>
      <c r="N79" s="345">
        <f>IFERROR(VLOOKUP($B79,'[4]6-Hm Budget Total-FY21 (P&amp;L)'!$B$40:$O$117,13,FALSE),0)</f>
        <v>0</v>
      </c>
      <c r="O79" s="345">
        <f>IFERROR(VLOOKUP($B79,'[4]6-Hm Budget Total-FY21 (P&amp;L)'!$B$40:$O$117,14,FALSE),0)</f>
        <v>0</v>
      </c>
      <c r="P79" s="346">
        <f t="shared" si="2"/>
        <v>575</v>
      </c>
      <c r="Q79" s="345"/>
      <c r="R79" s="99"/>
      <c r="S79" s="348">
        <v>575</v>
      </c>
      <c r="T79" s="349">
        <v>75</v>
      </c>
      <c r="U79" s="351">
        <f>'[4]6-Hm Budget Total-FY21 (P&amp;L)'!T94</f>
        <v>75</v>
      </c>
      <c r="V79" s="351">
        <f>'[4]6-Hm FY21 Budget Variance (P&amp;L)'!G99</f>
        <v>75</v>
      </c>
    </row>
    <row r="80" spans="2:22" x14ac:dyDescent="0.2">
      <c r="B80" s="268">
        <v>5291</v>
      </c>
      <c r="C80" s="363" t="s">
        <v>179</v>
      </c>
      <c r="D80" s="345">
        <f>IFERROR(VLOOKUP($B80,'[4]6-Hm Budget Total-FY21 (P&amp;L)'!$B$40:$O$117,3,FALSE),0)</f>
        <v>12.5</v>
      </c>
      <c r="E80" s="345">
        <f>IFERROR(VLOOKUP($B80,'[4]6-Hm Budget Total-FY21 (P&amp;L)'!$B$40:$O$117,4,FALSE),0)</f>
        <v>12.5</v>
      </c>
      <c r="F80" s="345">
        <f>IFERROR(VLOOKUP($B80,'[4]6-Hm Budget Total-FY21 (P&amp;L)'!$B$40:$O$117,5,FALSE),0)</f>
        <v>12.5</v>
      </c>
      <c r="G80" s="345">
        <f>IFERROR(VLOOKUP($B80,'[4]6-Hm Budget Total-FY21 (P&amp;L)'!$B$40:$O$117,6,FALSE),0)</f>
        <v>12.5</v>
      </c>
      <c r="H80" s="345">
        <f>IFERROR(VLOOKUP($B80,'[4]6-Hm Budget Total-FY21 (P&amp;L)'!$B$40:$O$117,7,FALSE),0)</f>
        <v>12.5</v>
      </c>
      <c r="I80" s="345">
        <f>IFERROR(VLOOKUP($B80,'[4]6-Hm Budget Total-FY21 (P&amp;L)'!$B$40:$O$117,8,FALSE),0)</f>
        <v>12.5</v>
      </c>
      <c r="J80" s="345">
        <f>IFERROR(VLOOKUP($B80,'[4]6-Hm Budget Total-FY21 (P&amp;L)'!$B$40:$O$117,9,FALSE),0)</f>
        <v>12.5</v>
      </c>
      <c r="K80" s="345">
        <f>IFERROR(VLOOKUP($B80,'[4]6-Hm Budget Total-FY21 (P&amp;L)'!$B$40:$O$117,10,FALSE),0)</f>
        <v>12.5</v>
      </c>
      <c r="L80" s="345">
        <f>IFERROR(VLOOKUP($B80,'[4]6-Hm Budget Total-FY21 (P&amp;L)'!$B$40:$O$117,11,FALSE),0)</f>
        <v>12.5</v>
      </c>
      <c r="M80" s="345">
        <f>IFERROR(VLOOKUP($B80,'[4]6-Hm Budget Total-FY21 (P&amp;L)'!$B$40:$O$117,12,FALSE),0)</f>
        <v>12.5</v>
      </c>
      <c r="N80" s="345">
        <f>IFERROR(VLOOKUP($B80,'[4]6-Hm Budget Total-FY21 (P&amp;L)'!$B$40:$O$117,13,FALSE),0)</f>
        <v>12.5</v>
      </c>
      <c r="O80" s="345">
        <f>IFERROR(VLOOKUP($B80,'[4]6-Hm Budget Total-FY21 (P&amp;L)'!$B$40:$O$117,14,FALSE),0)</f>
        <v>12.5</v>
      </c>
      <c r="P80" s="346">
        <f t="shared" si="2"/>
        <v>150</v>
      </c>
      <c r="Q80" s="345"/>
      <c r="R80" s="99"/>
      <c r="S80" s="348">
        <v>150</v>
      </c>
      <c r="T80" s="349">
        <v>150</v>
      </c>
      <c r="U80" s="351">
        <f>'[4]6-Hm Budget Total-FY21 (P&amp;L)'!T95</f>
        <v>103</v>
      </c>
      <c r="V80" s="351">
        <f>'[4]6-Hm FY21 Budget Variance (P&amp;L)'!G100</f>
        <v>103</v>
      </c>
    </row>
    <row r="81" spans="2:22" x14ac:dyDescent="0.2">
      <c r="B81" s="368">
        <v>5367</v>
      </c>
      <c r="C81" s="363" t="s">
        <v>182</v>
      </c>
      <c r="D81" s="345">
        <f>IFERROR(VLOOKUP($B81,'[4]6-Hm Budget Total-FY21 (P&amp;L)'!$B$40:$O$117,3,FALSE),0)</f>
        <v>1202.8499999999999</v>
      </c>
      <c r="E81" s="345">
        <f>IFERROR(VLOOKUP($B81,'[4]6-Hm Budget Total-FY21 (P&amp;L)'!$B$40:$O$117,4,FALSE),0)</f>
        <v>1202.8499999999999</v>
      </c>
      <c r="F81" s="345">
        <f>IFERROR(VLOOKUP($B81,'[4]6-Hm Budget Total-FY21 (P&amp;L)'!$B$40:$O$117,5,FALSE),0)</f>
        <v>1202.8499999999999</v>
      </c>
      <c r="G81" s="345">
        <f>IFERROR(VLOOKUP($B81,'[4]6-Hm Budget Total-FY21 (P&amp;L)'!$B$40:$O$117,6,FALSE),0)</f>
        <v>1202.8499999999999</v>
      </c>
      <c r="H81" s="345">
        <f>IFERROR(VLOOKUP($B81,'[4]6-Hm Budget Total-FY21 (P&amp;L)'!$B$40:$O$117,7,FALSE),0)</f>
        <v>1202.8499999999999</v>
      </c>
      <c r="I81" s="345">
        <f>IFERROR(VLOOKUP($B81,'[4]6-Hm Budget Total-FY21 (P&amp;L)'!$B$40:$O$117,8,FALSE),0)</f>
        <v>1202.8499999999999</v>
      </c>
      <c r="J81" s="345">
        <f>IFERROR(VLOOKUP($B81,'[4]6-Hm Budget Total-FY21 (P&amp;L)'!$B$40:$O$117,9,FALSE),0)</f>
        <v>1202.8499999999999</v>
      </c>
      <c r="K81" s="345">
        <f>IFERROR(VLOOKUP($B81,'[4]6-Hm Budget Total-FY21 (P&amp;L)'!$B$40:$O$117,10,FALSE),0)</f>
        <v>1202.8499999999999</v>
      </c>
      <c r="L81" s="345">
        <f>IFERROR(VLOOKUP($B81,'[4]6-Hm Budget Total-FY21 (P&amp;L)'!$B$40:$O$117,11,FALSE),0)</f>
        <v>1532.85</v>
      </c>
      <c r="M81" s="345">
        <f>IFERROR(VLOOKUP($B81,'[4]6-Hm Budget Total-FY21 (P&amp;L)'!$B$40:$O$117,12,FALSE),0)</f>
        <v>1532.85</v>
      </c>
      <c r="N81" s="345">
        <f>IFERROR(VLOOKUP($B81,'[4]6-Hm Budget Total-FY21 (P&amp;L)'!$B$40:$O$117,13,FALSE),0)</f>
        <v>1532.85</v>
      </c>
      <c r="O81" s="345">
        <f>IFERROR(VLOOKUP($B81,'[4]6-Hm Budget Total-FY21 (P&amp;L)'!$B$40:$O$117,14,FALSE),0)</f>
        <v>1532.85</v>
      </c>
      <c r="P81" s="346">
        <f t="shared" si="2"/>
        <v>15755</v>
      </c>
      <c r="Q81" s="345"/>
      <c r="R81" s="99"/>
      <c r="S81" s="348">
        <v>15755</v>
      </c>
      <c r="T81" s="349">
        <v>13112</v>
      </c>
      <c r="U81" s="351">
        <f>'[4]6-Hm Budget Total-FY21 (P&amp;L)'!T96</f>
        <v>11769.36</v>
      </c>
      <c r="V81" s="351">
        <f>'[4]6-Hm FY21 Budget Variance (P&amp;L)'!G101</f>
        <v>14779.36</v>
      </c>
    </row>
    <row r="82" spans="2:22" x14ac:dyDescent="0.2">
      <c r="B82" s="369" t="s">
        <v>332</v>
      </c>
      <c r="C82" s="363" t="s">
        <v>185</v>
      </c>
      <c r="D82" s="345">
        <f>IFERROR(VLOOKUP($B82,'[4]6-Hm Budget Total-FY21 (P&amp;L)'!$B$40:$O$117,3,FALSE),0)</f>
        <v>688.33333333333337</v>
      </c>
      <c r="E82" s="345">
        <f>IFERROR(VLOOKUP($B82,'[4]6-Hm Budget Total-FY21 (P&amp;L)'!$B$40:$O$117,4,FALSE),0)</f>
        <v>673.33333333333337</v>
      </c>
      <c r="F82" s="345">
        <f>IFERROR(VLOOKUP($B82,'[4]6-Hm Budget Total-FY21 (P&amp;L)'!$B$40:$O$117,5,FALSE),0)</f>
        <v>673.33333333333337</v>
      </c>
      <c r="G82" s="345">
        <f>IFERROR(VLOOKUP($B82,'[4]6-Hm Budget Total-FY21 (P&amp;L)'!$B$40:$O$117,6,FALSE),0)</f>
        <v>673.33333333333337</v>
      </c>
      <c r="H82" s="345">
        <f>IFERROR(VLOOKUP($B82,'[4]6-Hm Budget Total-FY21 (P&amp;L)'!$B$40:$O$117,7,FALSE),0)</f>
        <v>688.33333333333337</v>
      </c>
      <c r="I82" s="345">
        <f>IFERROR(VLOOKUP($B82,'[4]6-Hm Budget Total-FY21 (P&amp;L)'!$B$40:$O$117,8,FALSE),0)</f>
        <v>673.33333333333337</v>
      </c>
      <c r="J82" s="345">
        <f>IFERROR(VLOOKUP($B82,'[4]6-Hm Budget Total-FY21 (P&amp;L)'!$B$40:$O$117,9,FALSE),0)</f>
        <v>673.33333333333337</v>
      </c>
      <c r="K82" s="345">
        <f>IFERROR(VLOOKUP($B82,'[4]6-Hm Budget Total-FY21 (P&amp;L)'!$B$40:$O$117,10,FALSE),0)</f>
        <v>673.33333333333337</v>
      </c>
      <c r="L82" s="345">
        <f>IFERROR(VLOOKUP($B82,'[4]6-Hm Budget Total-FY21 (P&amp;L)'!$B$40:$O$117,11,FALSE),0)</f>
        <v>813.33333333333337</v>
      </c>
      <c r="M82" s="345">
        <f>IFERROR(VLOOKUP($B82,'[4]6-Hm Budget Total-FY21 (P&amp;L)'!$B$40:$O$117,12,FALSE),0)</f>
        <v>798.33333333333337</v>
      </c>
      <c r="N82" s="345">
        <f>IFERROR(VLOOKUP($B82,'[4]6-Hm Budget Total-FY21 (P&amp;L)'!$B$40:$O$117,13,FALSE),0)</f>
        <v>798.33333333333337</v>
      </c>
      <c r="O82" s="345">
        <f>IFERROR(VLOOKUP($B82,'[4]6-Hm Budget Total-FY21 (P&amp;L)'!$B$40:$O$117,14,FALSE),0)</f>
        <v>813.33333333333337</v>
      </c>
      <c r="P82" s="346">
        <f t="shared" si="2"/>
        <v>8640</v>
      </c>
      <c r="Q82" s="345"/>
      <c r="R82" s="99"/>
      <c r="S82" s="348">
        <v>8640</v>
      </c>
      <c r="T82" s="349">
        <v>6000</v>
      </c>
      <c r="U82" s="351">
        <f>'[4]6-Hm Budget Total-FY21 (P&amp;L)'!T97</f>
        <v>4247.01</v>
      </c>
      <c r="V82" s="351">
        <f>'[4]6-Hm FY21 Budget Variance (P&amp;L)'!G102</f>
        <v>4652.01</v>
      </c>
    </row>
    <row r="83" spans="2:22" x14ac:dyDescent="0.2">
      <c r="B83" s="268">
        <v>5114</v>
      </c>
      <c r="C83" s="363" t="s">
        <v>186</v>
      </c>
      <c r="D83" s="345">
        <f>IFERROR(VLOOKUP($B83,'[4]6-Hm Budget Total-FY21 (P&amp;L)'!$B$40:$O$117,3,FALSE),0)</f>
        <v>100</v>
      </c>
      <c r="E83" s="345">
        <f>IFERROR(VLOOKUP($B83,'[4]6-Hm Budget Total-FY21 (P&amp;L)'!$B$40:$O$117,4,FALSE),0)</f>
        <v>100</v>
      </c>
      <c r="F83" s="345">
        <f>IFERROR(VLOOKUP($B83,'[4]6-Hm Budget Total-FY21 (P&amp;L)'!$B$40:$O$117,5,FALSE),0)</f>
        <v>100</v>
      </c>
      <c r="G83" s="345">
        <f>IFERROR(VLOOKUP($B83,'[4]6-Hm Budget Total-FY21 (P&amp;L)'!$B$40:$O$117,6,FALSE),0)</f>
        <v>100</v>
      </c>
      <c r="H83" s="345">
        <f>IFERROR(VLOOKUP($B83,'[4]6-Hm Budget Total-FY21 (P&amp;L)'!$B$40:$O$117,7,FALSE),0)</f>
        <v>100</v>
      </c>
      <c r="I83" s="345">
        <f>IFERROR(VLOOKUP($B83,'[4]6-Hm Budget Total-FY21 (P&amp;L)'!$B$40:$O$117,8,FALSE),0)</f>
        <v>100</v>
      </c>
      <c r="J83" s="345">
        <f>IFERROR(VLOOKUP($B83,'[4]6-Hm Budget Total-FY21 (P&amp;L)'!$B$40:$O$117,9,FALSE),0)</f>
        <v>100</v>
      </c>
      <c r="K83" s="345">
        <f>IFERROR(VLOOKUP($B83,'[4]6-Hm Budget Total-FY21 (P&amp;L)'!$B$40:$O$117,10,FALSE),0)</f>
        <v>100</v>
      </c>
      <c r="L83" s="345">
        <f>IFERROR(VLOOKUP($B83,'[4]6-Hm Budget Total-FY21 (P&amp;L)'!$B$40:$O$117,11,FALSE),0)</f>
        <v>100</v>
      </c>
      <c r="M83" s="345">
        <f>IFERROR(VLOOKUP($B83,'[4]6-Hm Budget Total-FY21 (P&amp;L)'!$B$40:$O$117,12,FALSE),0)</f>
        <v>100</v>
      </c>
      <c r="N83" s="345">
        <f>IFERROR(VLOOKUP($B83,'[4]6-Hm Budget Total-FY21 (P&amp;L)'!$B$40:$O$117,13,FALSE),0)</f>
        <v>100</v>
      </c>
      <c r="O83" s="345">
        <f>IFERROR(VLOOKUP($B83,'[4]6-Hm Budget Total-FY21 (P&amp;L)'!$B$40:$O$117,14,FALSE),0)</f>
        <v>100</v>
      </c>
      <c r="P83" s="346">
        <f t="shared" si="2"/>
        <v>1200</v>
      </c>
      <c r="Q83" s="345"/>
      <c r="R83" s="99"/>
      <c r="S83" s="348">
        <v>1200</v>
      </c>
      <c r="T83" s="349">
        <v>1200</v>
      </c>
      <c r="U83" s="351">
        <f>'[4]6-Hm Budget Total-FY21 (P&amp;L)'!T98</f>
        <v>1000</v>
      </c>
      <c r="V83" s="351">
        <f>'[4]6-Hm FY21 Budget Variance (P&amp;L)'!G103</f>
        <v>1200</v>
      </c>
    </row>
    <row r="84" spans="2:22" x14ac:dyDescent="0.2">
      <c r="B84" s="270" t="s">
        <v>333</v>
      </c>
      <c r="C84" s="363" t="s">
        <v>334</v>
      </c>
      <c r="D84" s="345">
        <f>IFERROR(VLOOKUP($B84,'[4]6-Hm Budget Total-FY21 (P&amp;L)'!$B$40:$O$117,3,FALSE),0)</f>
        <v>1575</v>
      </c>
      <c r="E84" s="345">
        <f>IFERROR(VLOOKUP($B84,'[4]6-Hm Budget Total-FY21 (P&amp;L)'!$B$40:$O$117,4,FALSE),0)</f>
        <v>1575</v>
      </c>
      <c r="F84" s="345">
        <f>IFERROR(VLOOKUP($B84,'[4]6-Hm Budget Total-FY21 (P&amp;L)'!$B$40:$O$117,5,FALSE),0)</f>
        <v>1620</v>
      </c>
      <c r="G84" s="345">
        <f>IFERROR(VLOOKUP($B84,'[4]6-Hm Budget Total-FY21 (P&amp;L)'!$B$40:$O$117,6,FALSE),0)</f>
        <v>1620</v>
      </c>
      <c r="H84" s="345">
        <f>IFERROR(VLOOKUP($B84,'[4]6-Hm Budget Total-FY21 (P&amp;L)'!$B$40:$O$117,7,FALSE),0)</f>
        <v>1620</v>
      </c>
      <c r="I84" s="345">
        <f>IFERROR(VLOOKUP($B84,'[4]6-Hm Budget Total-FY21 (P&amp;L)'!$B$40:$O$117,8,FALSE),0)</f>
        <v>1620</v>
      </c>
      <c r="J84" s="345">
        <f>IFERROR(VLOOKUP($B84,'[4]6-Hm Budget Total-FY21 (P&amp;L)'!$B$40:$O$117,9,FALSE),0)</f>
        <v>1620</v>
      </c>
      <c r="K84" s="345">
        <f>IFERROR(VLOOKUP($B84,'[4]6-Hm Budget Total-FY21 (P&amp;L)'!$B$40:$O$117,10,FALSE),0)</f>
        <v>2120</v>
      </c>
      <c r="L84" s="345">
        <f>IFERROR(VLOOKUP($B84,'[4]6-Hm Budget Total-FY21 (P&amp;L)'!$B$40:$O$117,11,FALSE),0)</f>
        <v>2120</v>
      </c>
      <c r="M84" s="345">
        <f>IFERROR(VLOOKUP($B84,'[4]6-Hm Budget Total-FY21 (P&amp;L)'!$B$40:$O$117,12,FALSE),0)</f>
        <v>2120</v>
      </c>
      <c r="N84" s="345">
        <f>IFERROR(VLOOKUP($B84,'[4]6-Hm Budget Total-FY21 (P&amp;L)'!$B$40:$O$117,13,FALSE),0)</f>
        <v>2120</v>
      </c>
      <c r="O84" s="345">
        <f>IFERROR(VLOOKUP($B84,'[4]6-Hm Budget Total-FY21 (P&amp;L)'!$B$40:$O$117,14,FALSE),0)</f>
        <v>2120</v>
      </c>
      <c r="P84" s="346">
        <f t="shared" si="2"/>
        <v>21850</v>
      </c>
      <c r="Q84" s="345"/>
      <c r="R84" s="99"/>
      <c r="S84" s="348">
        <v>21850</v>
      </c>
      <c r="T84" s="349">
        <v>23072</v>
      </c>
      <c r="U84" s="351">
        <f>'[4]6-Hm Budget Total-FY21 (P&amp;L)'!T99</f>
        <v>19251.760000000002</v>
      </c>
      <c r="V84" s="351">
        <f>'[4]6-Hm FY21 Budget Variance (P&amp;L)'!G104</f>
        <v>23181.760000000002</v>
      </c>
    </row>
    <row r="85" spans="2:22" x14ac:dyDescent="0.2">
      <c r="B85" s="368">
        <v>8285</v>
      </c>
      <c r="C85" s="363" t="s">
        <v>190</v>
      </c>
      <c r="D85" s="345">
        <f>IFERROR(VLOOKUP($B85,'[4]6-Hm Budget Total-FY21 (P&amp;L)'!$B$40:$O$117,3,FALSE),0)</f>
        <v>912</v>
      </c>
      <c r="E85" s="345">
        <f>IFERROR(VLOOKUP($B85,'[4]6-Hm Budget Total-FY21 (P&amp;L)'!$B$40:$O$117,4,FALSE),0)</f>
        <v>912</v>
      </c>
      <c r="F85" s="345">
        <f>IFERROR(VLOOKUP($B85,'[4]6-Hm Budget Total-FY21 (P&amp;L)'!$B$40:$O$117,5,FALSE),0)</f>
        <v>912</v>
      </c>
      <c r="G85" s="345">
        <f>IFERROR(VLOOKUP($B85,'[4]6-Hm Budget Total-FY21 (P&amp;L)'!$B$40:$O$117,6,FALSE),0)</f>
        <v>912</v>
      </c>
      <c r="H85" s="345">
        <f>IFERROR(VLOOKUP($B85,'[4]6-Hm Budget Total-FY21 (P&amp;L)'!$B$40:$O$117,7,FALSE),0)</f>
        <v>912</v>
      </c>
      <c r="I85" s="345">
        <f>IFERROR(VLOOKUP($B85,'[4]6-Hm Budget Total-FY21 (P&amp;L)'!$B$40:$O$117,8,FALSE),0)</f>
        <v>912</v>
      </c>
      <c r="J85" s="345">
        <f>IFERROR(VLOOKUP($B85,'[4]6-Hm Budget Total-FY21 (P&amp;L)'!$B$40:$O$117,9,FALSE),0)</f>
        <v>912</v>
      </c>
      <c r="K85" s="345">
        <f>IFERROR(VLOOKUP($B85,'[4]6-Hm Budget Total-FY21 (P&amp;L)'!$B$40:$O$117,10,FALSE),0)</f>
        <v>912</v>
      </c>
      <c r="L85" s="345">
        <f>IFERROR(VLOOKUP($B85,'[4]6-Hm Budget Total-FY21 (P&amp;L)'!$B$40:$O$117,11,FALSE),0)</f>
        <v>912</v>
      </c>
      <c r="M85" s="345">
        <f>IFERROR(VLOOKUP($B85,'[4]6-Hm Budget Total-FY21 (P&amp;L)'!$B$40:$O$117,12,FALSE),0)</f>
        <v>912</v>
      </c>
      <c r="N85" s="345">
        <f>IFERROR(VLOOKUP($B85,'[4]6-Hm Budget Total-FY21 (P&amp;L)'!$B$40:$O$117,13,FALSE),0)</f>
        <v>912</v>
      </c>
      <c r="O85" s="345">
        <f>IFERROR(VLOOKUP($B85,'[4]6-Hm Budget Total-FY21 (P&amp;L)'!$B$40:$O$117,14,FALSE),0)</f>
        <v>-488</v>
      </c>
      <c r="P85" s="357">
        <f>(ROUNDUP(SUM(D85:O85),0))</f>
        <v>9544</v>
      </c>
      <c r="Q85" s="371"/>
      <c r="R85" s="99"/>
      <c r="S85" s="348">
        <v>10944</v>
      </c>
      <c r="T85" s="349">
        <v>8400</v>
      </c>
      <c r="U85" s="351">
        <f>'[4]6-Hm Budget Total-FY21 (P&amp;L)'!T100</f>
        <v>5598</v>
      </c>
      <c r="V85" s="351">
        <f>'[4]6-Hm FY21 Budget Variance (P&amp;L)'!G105</f>
        <v>7230</v>
      </c>
    </row>
    <row r="86" spans="2:22" x14ac:dyDescent="0.2">
      <c r="B86" s="368">
        <v>5363</v>
      </c>
      <c r="C86" s="363" t="s">
        <v>192</v>
      </c>
      <c r="D86" s="345">
        <f>IFERROR(VLOOKUP($B86,'[4]6-Hm Budget Total-FY21 (P&amp;L)'!$B$40:$O$117,3,FALSE),0)</f>
        <v>1533.3333333333333</v>
      </c>
      <c r="E86" s="345">
        <f>IFERROR(VLOOKUP($B86,'[4]6-Hm Budget Total-FY21 (P&amp;L)'!$B$40:$O$117,4,FALSE),0)</f>
        <v>1533.3333333333333</v>
      </c>
      <c r="F86" s="345">
        <f>IFERROR(VLOOKUP($B86,'[4]6-Hm Budget Total-FY21 (P&amp;L)'!$B$40:$O$117,5,FALSE),0)</f>
        <v>1533.3333333333333</v>
      </c>
      <c r="G86" s="345">
        <f>IFERROR(VLOOKUP($B86,'[4]6-Hm Budget Total-FY21 (P&amp;L)'!$B$40:$O$117,6,FALSE),0)</f>
        <v>1533.3333333333333</v>
      </c>
      <c r="H86" s="345">
        <f>IFERROR(VLOOKUP($B86,'[4]6-Hm Budget Total-FY21 (P&amp;L)'!$B$40:$O$117,7,FALSE),0)</f>
        <v>1533.3333333333333</v>
      </c>
      <c r="I86" s="345">
        <f>IFERROR(VLOOKUP($B86,'[4]6-Hm Budget Total-FY21 (P&amp;L)'!$B$40:$O$117,8,FALSE),0)</f>
        <v>1533.3333333333333</v>
      </c>
      <c r="J86" s="345">
        <f>IFERROR(VLOOKUP($B86,'[4]6-Hm Budget Total-FY21 (P&amp;L)'!$B$40:$O$117,9,FALSE),0)</f>
        <v>1533.3333333333333</v>
      </c>
      <c r="K86" s="345">
        <f>IFERROR(VLOOKUP($B86,'[4]6-Hm Budget Total-FY21 (P&amp;L)'!$B$40:$O$117,10,FALSE),0)</f>
        <v>2333.333333333333</v>
      </c>
      <c r="L86" s="345">
        <f>IFERROR(VLOOKUP($B86,'[4]6-Hm Budget Total-FY21 (P&amp;L)'!$B$40:$O$117,11,FALSE),0)</f>
        <v>2333.333333333333</v>
      </c>
      <c r="M86" s="345">
        <f>IFERROR(VLOOKUP($B86,'[4]6-Hm Budget Total-FY21 (P&amp;L)'!$B$40:$O$117,12,FALSE),0)</f>
        <v>2333.333333333333</v>
      </c>
      <c r="N86" s="345">
        <f>IFERROR(VLOOKUP($B86,'[4]6-Hm Budget Total-FY21 (P&amp;L)'!$B$40:$O$117,13,FALSE),0)</f>
        <v>2333.333333333333</v>
      </c>
      <c r="O86" s="345">
        <f>IFERROR(VLOOKUP($B86,'[4]6-Hm Budget Total-FY21 (P&amp;L)'!$B$40:$O$117,14,FALSE),0)</f>
        <v>2333.333333333333</v>
      </c>
      <c r="P86" s="346">
        <f t="shared" si="2"/>
        <v>22400</v>
      </c>
      <c r="Q86" s="345"/>
      <c r="R86" s="99"/>
      <c r="S86" s="348">
        <v>22400</v>
      </c>
      <c r="T86" s="349">
        <v>17600</v>
      </c>
      <c r="U86" s="351">
        <f>'[4]6-Hm Budget Total-FY21 (P&amp;L)'!T101</f>
        <v>14329.48</v>
      </c>
      <c r="V86" s="351">
        <f>'[4]6-Hm FY21 Budget Variance (P&amp;L)'!G106</f>
        <v>17229.48</v>
      </c>
    </row>
    <row r="87" spans="2:22" x14ac:dyDescent="0.2">
      <c r="B87" s="368">
        <v>5356</v>
      </c>
      <c r="C87" s="363" t="s">
        <v>193</v>
      </c>
      <c r="D87" s="345">
        <f>IFERROR(VLOOKUP($B87,'[4]6-Hm Budget Total-FY21 (P&amp;L)'!$B$40:$O$117,3,FALSE),0)</f>
        <v>100</v>
      </c>
      <c r="E87" s="345">
        <f>IFERROR(VLOOKUP($B87,'[4]6-Hm Budget Total-FY21 (P&amp;L)'!$B$40:$O$117,4,FALSE),0)</f>
        <v>100</v>
      </c>
      <c r="F87" s="345">
        <f>IFERROR(VLOOKUP($B87,'[4]6-Hm Budget Total-FY21 (P&amp;L)'!$B$40:$O$117,5,FALSE),0)</f>
        <v>100</v>
      </c>
      <c r="G87" s="345">
        <f>IFERROR(VLOOKUP($B87,'[4]6-Hm Budget Total-FY21 (P&amp;L)'!$B$40:$O$117,6,FALSE),0)</f>
        <v>100</v>
      </c>
      <c r="H87" s="345">
        <f>IFERROR(VLOOKUP($B87,'[4]6-Hm Budget Total-FY21 (P&amp;L)'!$B$40:$O$117,7,FALSE),0)</f>
        <v>100</v>
      </c>
      <c r="I87" s="345">
        <f>IFERROR(VLOOKUP($B87,'[4]6-Hm Budget Total-FY21 (P&amp;L)'!$B$40:$O$117,8,FALSE),0)</f>
        <v>100</v>
      </c>
      <c r="J87" s="345">
        <f>IFERROR(VLOOKUP($B87,'[4]6-Hm Budget Total-FY21 (P&amp;L)'!$B$40:$O$117,9,FALSE),0)</f>
        <v>100</v>
      </c>
      <c r="K87" s="345">
        <f>IFERROR(VLOOKUP($B87,'[4]6-Hm Budget Total-FY21 (P&amp;L)'!$B$40:$O$117,10,FALSE),0)</f>
        <v>375</v>
      </c>
      <c r="L87" s="345">
        <f>IFERROR(VLOOKUP($B87,'[4]6-Hm Budget Total-FY21 (P&amp;L)'!$B$40:$O$117,11,FALSE),0)</f>
        <v>100</v>
      </c>
      <c r="M87" s="345">
        <f>IFERROR(VLOOKUP($B87,'[4]6-Hm Budget Total-FY21 (P&amp;L)'!$B$40:$O$117,12,FALSE),0)</f>
        <v>100</v>
      </c>
      <c r="N87" s="345">
        <f>IFERROR(VLOOKUP($B87,'[4]6-Hm Budget Total-FY21 (P&amp;L)'!$B$40:$O$117,13,FALSE),0)</f>
        <v>300</v>
      </c>
      <c r="O87" s="345">
        <f>IFERROR(VLOOKUP($B87,'[4]6-Hm Budget Total-FY21 (P&amp;L)'!$B$40:$O$117,14,FALSE),0)</f>
        <v>100</v>
      </c>
      <c r="P87" s="346">
        <f t="shared" si="2"/>
        <v>1675</v>
      </c>
      <c r="Q87" s="345"/>
      <c r="R87" s="99"/>
      <c r="S87" s="348">
        <v>1675</v>
      </c>
      <c r="T87" s="349">
        <v>200</v>
      </c>
      <c r="U87" s="351">
        <f>'[4]6-Hm Budget Total-FY21 (P&amp;L)'!T102</f>
        <v>0</v>
      </c>
      <c r="V87" s="351">
        <f>'[4]6-Hm FY21 Budget Variance (P&amp;L)'!G107</f>
        <v>0</v>
      </c>
    </row>
    <row r="88" spans="2:22" x14ac:dyDescent="0.2">
      <c r="B88" s="369" t="s">
        <v>335</v>
      </c>
      <c r="C88" s="363" t="s">
        <v>194</v>
      </c>
      <c r="D88" s="345">
        <f>IFERROR(VLOOKUP($B88,'[4]6-Hm Budget Total-FY21 (P&amp;L)'!$B$40:$O$117,3,FALSE),0)</f>
        <v>2341.6666666666665</v>
      </c>
      <c r="E88" s="345">
        <f>IFERROR(VLOOKUP($B88,'[4]6-Hm Budget Total-FY21 (P&amp;L)'!$B$40:$O$117,4,FALSE),0)</f>
        <v>2341.6666666666665</v>
      </c>
      <c r="F88" s="345">
        <f>IFERROR(VLOOKUP($B88,'[4]6-Hm Budget Total-FY21 (P&amp;L)'!$B$40:$O$117,5,FALSE),0)</f>
        <v>2341.6666666666665</v>
      </c>
      <c r="G88" s="345">
        <f>IFERROR(VLOOKUP($B88,'[4]6-Hm Budget Total-FY21 (P&amp;L)'!$B$40:$O$117,6,FALSE),0)</f>
        <v>2341.6666666666665</v>
      </c>
      <c r="H88" s="345">
        <f>IFERROR(VLOOKUP($B88,'[4]6-Hm Budget Total-FY21 (P&amp;L)'!$B$40:$O$117,7,FALSE),0)</f>
        <v>2341.6666666666665</v>
      </c>
      <c r="I88" s="345">
        <f>IFERROR(VLOOKUP($B88,'[4]6-Hm Budget Total-FY21 (P&amp;L)'!$B$40:$O$117,8,FALSE),0)</f>
        <v>2341.6666666666665</v>
      </c>
      <c r="J88" s="345">
        <f>IFERROR(VLOOKUP($B88,'[4]6-Hm Budget Total-FY21 (P&amp;L)'!$B$40:$O$117,9,FALSE),0)</f>
        <v>2341.6666666666665</v>
      </c>
      <c r="K88" s="345">
        <f>IFERROR(VLOOKUP($B88,'[4]6-Hm Budget Total-FY21 (P&amp;L)'!$B$40:$O$117,10,FALSE),0)</f>
        <v>2341.6666666666665</v>
      </c>
      <c r="L88" s="345">
        <f>IFERROR(VLOOKUP($B88,'[4]6-Hm Budget Total-FY21 (P&amp;L)'!$B$40:$O$117,11,FALSE),0)</f>
        <v>2341.6666666666665</v>
      </c>
      <c r="M88" s="345">
        <f>IFERROR(VLOOKUP($B88,'[4]6-Hm Budget Total-FY21 (P&amp;L)'!$B$40:$O$117,12,FALSE),0)</f>
        <v>2966.666666666667</v>
      </c>
      <c r="N88" s="345">
        <f>IFERROR(VLOOKUP($B88,'[4]6-Hm Budget Total-FY21 (P&amp;L)'!$B$40:$O$117,13,FALSE),0)</f>
        <v>2966.666666666667</v>
      </c>
      <c r="O88" s="345">
        <f>IFERROR(VLOOKUP($B88,'[4]6-Hm Budget Total-FY21 (P&amp;L)'!$B$40:$O$117,14,FALSE),0)</f>
        <v>2966.666666666667</v>
      </c>
      <c r="P88" s="346">
        <f t="shared" si="2"/>
        <v>29975</v>
      </c>
      <c r="Q88" s="345"/>
      <c r="R88" s="99"/>
      <c r="S88" s="348">
        <v>34727</v>
      </c>
      <c r="T88" s="349">
        <v>28440</v>
      </c>
      <c r="U88" s="351">
        <f>'[4]6-Hm Budget Total-FY21 (P&amp;L)'!T103</f>
        <v>21850.14</v>
      </c>
      <c r="V88" s="351">
        <f>'[4]6-Hm FY21 Budget Variance (P&amp;L)'!G108</f>
        <v>26650.14</v>
      </c>
    </row>
    <row r="89" spans="2:22" x14ac:dyDescent="0.2">
      <c r="B89" s="368" t="s">
        <v>338</v>
      </c>
      <c r="C89" s="363" t="s">
        <v>339</v>
      </c>
      <c r="D89" s="345">
        <f>IFERROR(VLOOKUP($B89,'[4]6-Hm Budget Total-FY21 (P&amp;L)'!$B$40:$O$117,3,FALSE),0)</f>
        <v>1577.5</v>
      </c>
      <c r="E89" s="345">
        <f>IFERROR(VLOOKUP($B89,'[4]6-Hm Budget Total-FY21 (P&amp;L)'!$B$40:$O$117,4,FALSE),0)</f>
        <v>1577.5</v>
      </c>
      <c r="F89" s="345">
        <f>IFERROR(VLOOKUP($B89,'[4]6-Hm Budget Total-FY21 (P&amp;L)'!$B$40:$O$117,5,FALSE),0)</f>
        <v>1577.5</v>
      </c>
      <c r="G89" s="345">
        <f>IFERROR(VLOOKUP($B89,'[4]6-Hm Budget Total-FY21 (P&amp;L)'!$B$40:$O$117,6,FALSE),0)</f>
        <v>1577.5</v>
      </c>
      <c r="H89" s="345">
        <f>IFERROR(VLOOKUP($B89,'[4]6-Hm Budget Total-FY21 (P&amp;L)'!$B$40:$O$117,7,FALSE),0)</f>
        <v>1477.5</v>
      </c>
      <c r="I89" s="345">
        <f>IFERROR(VLOOKUP($B89,'[4]6-Hm Budget Total-FY21 (P&amp;L)'!$B$40:$O$117,8,FALSE),0)</f>
        <v>1477.5</v>
      </c>
      <c r="J89" s="345">
        <f>IFERROR(VLOOKUP($B89,'[4]6-Hm Budget Total-FY21 (P&amp;L)'!$B$40:$O$117,9,FALSE),0)</f>
        <v>1477.5</v>
      </c>
      <c r="K89" s="345">
        <f>IFERROR(VLOOKUP($B89,'[4]6-Hm Budget Total-FY21 (P&amp;L)'!$B$40:$O$117,10,FALSE),0)</f>
        <v>1927.5</v>
      </c>
      <c r="L89" s="345">
        <f>IFERROR(VLOOKUP($B89,'[4]6-Hm Budget Total-FY21 (P&amp;L)'!$B$40:$O$117,11,FALSE),0)</f>
        <v>1927.5</v>
      </c>
      <c r="M89" s="345">
        <f>IFERROR(VLOOKUP($B89,'[4]6-Hm Budget Total-FY21 (P&amp;L)'!$B$40:$O$117,12,FALSE),0)</f>
        <v>2027.5</v>
      </c>
      <c r="N89" s="345">
        <f>IFERROR(VLOOKUP($B89,'[4]6-Hm Budget Total-FY21 (P&amp;L)'!$B$40:$O$117,13,FALSE),0)</f>
        <v>2027.5</v>
      </c>
      <c r="O89" s="345">
        <f>IFERROR(VLOOKUP($B89,'[4]6-Hm Budget Total-FY21 (P&amp;L)'!$B$40:$O$117,14,FALSE),0)</f>
        <v>2027.5</v>
      </c>
      <c r="P89" s="346">
        <f t="shared" si="2"/>
        <v>20680</v>
      </c>
      <c r="Q89" s="345"/>
      <c r="R89" s="99"/>
      <c r="S89" s="348">
        <v>21180</v>
      </c>
      <c r="T89" s="349">
        <v>15350</v>
      </c>
      <c r="U89" s="351">
        <f>'[4]6-Hm Budget Total-FY21 (P&amp;L)'!T104</f>
        <v>12471.62</v>
      </c>
      <c r="V89" s="351">
        <f>'[4]6-Hm FY21 Budget Variance (P&amp;L)'!G109</f>
        <v>13731.62</v>
      </c>
    </row>
    <row r="90" spans="2:22" x14ac:dyDescent="0.2">
      <c r="B90" s="368" t="s">
        <v>340</v>
      </c>
      <c r="C90" s="363" t="s">
        <v>341</v>
      </c>
      <c r="D90" s="345">
        <f>IFERROR(VLOOKUP($B90,'[4]6-Hm Budget Total-FY21 (P&amp;L)'!$B$40:$O$117,3,FALSE),0)</f>
        <v>2538.6999378109458</v>
      </c>
      <c r="E90" s="345">
        <f>IFERROR(VLOOKUP($B90,'[4]6-Hm Budget Total-FY21 (P&amp;L)'!$B$40:$O$117,4,FALSE),0)</f>
        <v>0</v>
      </c>
      <c r="F90" s="345">
        <f>IFERROR(VLOOKUP($B90,'[4]6-Hm Budget Total-FY21 (P&amp;L)'!$B$40:$O$117,5,FALSE),0)</f>
        <v>0</v>
      </c>
      <c r="G90" s="345">
        <f>IFERROR(VLOOKUP($B90,'[4]6-Hm Budget Total-FY21 (P&amp;L)'!$B$40:$O$117,6,FALSE),0)</f>
        <v>2535.75</v>
      </c>
      <c r="H90" s="345">
        <f>IFERROR(VLOOKUP($B90,'[4]6-Hm Budget Total-FY21 (P&amp;L)'!$B$40:$O$117,7,FALSE),0)</f>
        <v>0</v>
      </c>
      <c r="I90" s="345">
        <f>IFERROR(VLOOKUP($B90,'[4]6-Hm Budget Total-FY21 (P&amp;L)'!$B$40:$O$117,8,FALSE),0)</f>
        <v>0</v>
      </c>
      <c r="J90" s="345">
        <f>IFERROR(VLOOKUP($B90,'[4]6-Hm Budget Total-FY21 (P&amp;L)'!$B$40:$O$117,9,FALSE),0)</f>
        <v>2535.75</v>
      </c>
      <c r="K90" s="345">
        <f>IFERROR(VLOOKUP($B90,'[4]6-Hm Budget Total-FY21 (P&amp;L)'!$B$40:$O$117,10,FALSE),0)</f>
        <v>175</v>
      </c>
      <c r="L90" s="345">
        <f>IFERROR(VLOOKUP($B90,'[4]6-Hm Budget Total-FY21 (P&amp;L)'!$B$40:$O$117,11,FALSE),0)</f>
        <v>175</v>
      </c>
      <c r="M90" s="345">
        <f>IFERROR(VLOOKUP($B90,'[4]6-Hm Budget Total-FY21 (P&amp;L)'!$B$40:$O$117,12,FALSE),0)</f>
        <v>2712.8000621890546</v>
      </c>
      <c r="N90" s="345">
        <f>IFERROR(VLOOKUP($B90,'[4]6-Hm Budget Total-FY21 (P&amp;L)'!$B$40:$O$117,13,FALSE),0)</f>
        <v>175</v>
      </c>
      <c r="O90" s="345">
        <f>IFERROR(VLOOKUP($B90,'[4]6-Hm Budget Total-FY21 (P&amp;L)'!$B$40:$O$117,14,FALSE),0)</f>
        <v>175</v>
      </c>
      <c r="P90" s="346">
        <f t="shared" si="2"/>
        <v>11023</v>
      </c>
      <c r="Q90" s="345"/>
      <c r="R90" s="99"/>
      <c r="S90" s="348">
        <v>12523</v>
      </c>
      <c r="T90" s="349">
        <v>9953</v>
      </c>
      <c r="U90" s="351">
        <f>'[4]6-Hm Budget Total-FY21 (P&amp;L)'!T105</f>
        <v>10144.25</v>
      </c>
      <c r="V90" s="351">
        <f>'[4]6-Hm FY21 Budget Variance (P&amp;L)'!G110</f>
        <v>12544.25</v>
      </c>
    </row>
    <row r="91" spans="2:22" x14ac:dyDescent="0.2">
      <c r="B91" s="368" t="s">
        <v>336</v>
      </c>
      <c r="C91" s="363" t="s">
        <v>464</v>
      </c>
      <c r="D91" s="345">
        <f>IFERROR(VLOOKUP($B91,'[4]6-Hm Budget Total-FY21 (P&amp;L)'!$B$40:$O$117,3,FALSE),0)</f>
        <v>1516.6666666666667</v>
      </c>
      <c r="E91" s="345">
        <f>IFERROR(VLOOKUP($B91,'[4]6-Hm Budget Total-FY21 (P&amp;L)'!$B$40:$O$117,4,FALSE),0)</f>
        <v>516.66666666666674</v>
      </c>
      <c r="F91" s="345">
        <f>IFERROR(VLOOKUP($B91,'[4]6-Hm Budget Total-FY21 (P&amp;L)'!$B$40:$O$117,5,FALSE),0)</f>
        <v>516.66666666666674</v>
      </c>
      <c r="G91" s="345">
        <f>IFERROR(VLOOKUP($B91,'[4]6-Hm Budget Total-FY21 (P&amp;L)'!$B$40:$O$117,6,FALSE),0)</f>
        <v>516.66666666666674</v>
      </c>
      <c r="H91" s="345">
        <f>IFERROR(VLOOKUP($B91,'[4]6-Hm Budget Total-FY21 (P&amp;L)'!$B$40:$O$117,7,FALSE),0)</f>
        <v>516.66666666666674</v>
      </c>
      <c r="I91" s="345">
        <f>IFERROR(VLOOKUP($B91,'[4]6-Hm Budget Total-FY21 (P&amp;L)'!$B$40:$O$117,8,FALSE),0)</f>
        <v>516.66666666666674</v>
      </c>
      <c r="J91" s="345">
        <f>IFERROR(VLOOKUP($B91,'[4]6-Hm Budget Total-FY21 (P&amp;L)'!$B$40:$O$117,9,FALSE),0)</f>
        <v>516.66666666666674</v>
      </c>
      <c r="K91" s="345">
        <f>IFERROR(VLOOKUP($B91,'[4]6-Hm Budget Total-FY21 (P&amp;L)'!$B$40:$O$117,10,FALSE),0)</f>
        <v>666.66666666666674</v>
      </c>
      <c r="L91" s="345">
        <f>IFERROR(VLOOKUP($B91,'[4]6-Hm Budget Total-FY21 (P&amp;L)'!$B$40:$O$117,11,FALSE),0)</f>
        <v>666.66666666666674</v>
      </c>
      <c r="M91" s="345">
        <f>IFERROR(VLOOKUP($B91,'[4]6-Hm Budget Total-FY21 (P&amp;L)'!$B$40:$O$117,12,FALSE),0)</f>
        <v>666.66666666666674</v>
      </c>
      <c r="N91" s="345">
        <f>IFERROR(VLOOKUP($B91,'[4]6-Hm Budget Total-FY21 (P&amp;L)'!$B$40:$O$117,13,FALSE),0)</f>
        <v>666.66666666666674</v>
      </c>
      <c r="O91" s="345">
        <f>IFERROR(VLOOKUP($B91,'[4]6-Hm Budget Total-FY21 (P&amp;L)'!$B$40:$O$117,14,FALSE),0)</f>
        <v>666.66666666666674</v>
      </c>
      <c r="P91" s="346">
        <f t="shared" si="2"/>
        <v>7950</v>
      </c>
      <c r="Q91" s="345"/>
      <c r="R91" s="99"/>
      <c r="S91" s="348">
        <v>8450</v>
      </c>
      <c r="T91" s="349">
        <v>11000</v>
      </c>
      <c r="U91" s="351">
        <f>'[4]6-Hm Budget Total-FY21 (P&amp;L)'!T106</f>
        <v>14347.2</v>
      </c>
      <c r="V91" s="351">
        <f>'[4]6-Hm FY21 Budget Variance (P&amp;L)'!G111</f>
        <v>14347.2</v>
      </c>
    </row>
    <row r="92" spans="2:22" x14ac:dyDescent="0.2">
      <c r="B92" s="368" t="s">
        <v>342</v>
      </c>
      <c r="C92" s="363" t="s">
        <v>343</v>
      </c>
      <c r="D92" s="345">
        <f>IFERROR(VLOOKUP($B92,'[4]6-Hm Budget Total-FY21 (P&amp;L)'!$B$40:$O$117,3,FALSE),0)</f>
        <v>177.24300000000002</v>
      </c>
      <c r="E92" s="345">
        <f>IFERROR(VLOOKUP($B92,'[4]6-Hm Budget Total-FY21 (P&amp;L)'!$B$40:$O$117,4,FALSE),0)</f>
        <v>228.74700000000001</v>
      </c>
      <c r="F92" s="345">
        <f>IFERROR(VLOOKUP($B92,'[4]6-Hm Budget Total-FY21 (P&amp;L)'!$B$40:$O$117,5,FALSE),0)</f>
        <v>0</v>
      </c>
      <c r="G92" s="345">
        <f>IFERROR(VLOOKUP($B92,'[4]6-Hm Budget Total-FY21 (P&amp;L)'!$B$40:$O$117,6,FALSE),0)</f>
        <v>150.42699999999999</v>
      </c>
      <c r="H92" s="345">
        <f>IFERROR(VLOOKUP($B92,'[4]6-Hm Budget Total-FY21 (P&amp;L)'!$B$40:$O$117,7,FALSE),0)</f>
        <v>142.56200000000001</v>
      </c>
      <c r="I92" s="345">
        <f>IFERROR(VLOOKUP($B92,'[4]6-Hm Budget Total-FY21 (P&amp;L)'!$B$40:$O$117,8,FALSE),0)</f>
        <v>0</v>
      </c>
      <c r="J92" s="345">
        <f>IFERROR(VLOOKUP($B92,'[4]6-Hm Budget Total-FY21 (P&amp;L)'!$B$40:$O$117,9,FALSE),0)</f>
        <v>0</v>
      </c>
      <c r="K92" s="345">
        <f>IFERROR(VLOOKUP($B92,'[4]6-Hm Budget Total-FY21 (P&amp;L)'!$B$40:$O$117,10,FALSE),0)</f>
        <v>214.46700000000001</v>
      </c>
      <c r="L92" s="345">
        <f>IFERROR(VLOOKUP($B92,'[4]6-Hm Budget Total-FY21 (P&amp;L)'!$B$40:$O$117,11,FALSE),0)</f>
        <v>650</v>
      </c>
      <c r="M92" s="345">
        <f>IFERROR(VLOOKUP($B92,'[4]6-Hm Budget Total-FY21 (P&amp;L)'!$B$40:$O$117,12,FALSE),0)</f>
        <v>0</v>
      </c>
      <c r="N92" s="345">
        <f>IFERROR(VLOOKUP($B92,'[4]6-Hm Budget Total-FY21 (P&amp;L)'!$B$40:$O$117,13,FALSE),0)</f>
        <v>0</v>
      </c>
      <c r="O92" s="345">
        <f>IFERROR(VLOOKUP($B92,'[4]6-Hm Budget Total-FY21 (P&amp;L)'!$B$40:$O$117,14,FALSE),0)</f>
        <v>480.46700000000004</v>
      </c>
      <c r="P92" s="346">
        <f t="shared" si="2"/>
        <v>2044</v>
      </c>
      <c r="Q92" s="345"/>
      <c r="R92" s="99"/>
      <c r="S92" s="348">
        <v>2044</v>
      </c>
      <c r="T92" s="349">
        <v>1336</v>
      </c>
      <c r="U92" s="351">
        <f>'[4]6-Hm Budget Total-FY21 (P&amp;L)'!T107</f>
        <v>955.83</v>
      </c>
      <c r="V92" s="351">
        <f>'[4]6-Hm FY21 Budget Variance (P&amp;L)'!G112</f>
        <v>955.83</v>
      </c>
    </row>
    <row r="93" spans="2:22" x14ac:dyDescent="0.2">
      <c r="B93" s="368" t="s">
        <v>234</v>
      </c>
      <c r="C93" s="363" t="s">
        <v>35</v>
      </c>
      <c r="D93" s="345">
        <f>IFERROR(VLOOKUP($B93,'[4]6-Hm Budget Total-FY21 (P&amp;L)'!$B$40:$O$117,3,FALSE),0)</f>
        <v>1875</v>
      </c>
      <c r="E93" s="345">
        <f>IFERROR(VLOOKUP($B93,'[4]6-Hm Budget Total-FY21 (P&amp;L)'!$B$40:$O$117,4,FALSE),0)</f>
        <v>1875</v>
      </c>
      <c r="F93" s="345">
        <f>IFERROR(VLOOKUP($B93,'[4]6-Hm Budget Total-FY21 (P&amp;L)'!$B$40:$O$117,5,FALSE),0)</f>
        <v>1875</v>
      </c>
      <c r="G93" s="345">
        <f>IFERROR(VLOOKUP($B93,'[4]6-Hm Budget Total-FY21 (P&amp;L)'!$B$40:$O$117,6,FALSE),0)</f>
        <v>1875</v>
      </c>
      <c r="H93" s="345">
        <f>IFERROR(VLOOKUP($B93,'[4]6-Hm Budget Total-FY21 (P&amp;L)'!$B$40:$O$117,7,FALSE),0)</f>
        <v>1875</v>
      </c>
      <c r="I93" s="345">
        <f>IFERROR(VLOOKUP($B93,'[4]6-Hm Budget Total-FY21 (P&amp;L)'!$B$40:$O$117,8,FALSE),0)</f>
        <v>1875</v>
      </c>
      <c r="J93" s="345">
        <f>IFERROR(VLOOKUP($B93,'[4]6-Hm Budget Total-FY21 (P&amp;L)'!$B$40:$O$117,9,FALSE),0)</f>
        <v>1875</v>
      </c>
      <c r="K93" s="345">
        <f>IFERROR(VLOOKUP($B93,'[4]6-Hm Budget Total-FY21 (P&amp;L)'!$B$40:$O$117,10,FALSE),0)</f>
        <v>2875</v>
      </c>
      <c r="L93" s="345">
        <f>IFERROR(VLOOKUP($B93,'[4]6-Hm Budget Total-FY21 (P&amp;L)'!$B$40:$O$117,11,FALSE),0)</f>
        <v>2875</v>
      </c>
      <c r="M93" s="345">
        <f>IFERROR(VLOOKUP($B93,'[4]6-Hm Budget Total-FY21 (P&amp;L)'!$B$40:$O$117,12,FALSE),0)</f>
        <v>2875</v>
      </c>
      <c r="N93" s="345">
        <f>IFERROR(VLOOKUP($B93,'[4]6-Hm Budget Total-FY21 (P&amp;L)'!$B$40:$O$117,13,FALSE),0)</f>
        <v>2875</v>
      </c>
      <c r="O93" s="345">
        <f>IFERROR(VLOOKUP($B93,'[4]6-Hm Budget Total-FY21 (P&amp;L)'!$B$40:$O$117,14,FALSE),0)</f>
        <v>2875</v>
      </c>
      <c r="P93" s="346">
        <f t="shared" si="2"/>
        <v>27500</v>
      </c>
      <c r="Q93" s="345"/>
      <c r="R93" s="99"/>
      <c r="S93" s="348">
        <v>24500</v>
      </c>
      <c r="T93" s="349">
        <v>10636</v>
      </c>
      <c r="U93" s="351">
        <f>'[4]6-Hm Budget Total-FY21 (P&amp;L)'!T108</f>
        <v>9749.08</v>
      </c>
      <c r="V93" s="351">
        <f>'[4]6-Hm FY21 Budget Variance (P&amp;L)'!G113</f>
        <v>11549.08</v>
      </c>
    </row>
    <row r="94" spans="2:22" x14ac:dyDescent="0.2">
      <c r="B94" s="368">
        <v>5373</v>
      </c>
      <c r="C94" s="363" t="s">
        <v>344</v>
      </c>
      <c r="D94" s="345">
        <f>IFERROR(VLOOKUP($B94,'[4]6-Hm Budget Total-FY21 (P&amp;L)'!$B$40:$O$117,3,FALSE),0)</f>
        <v>200</v>
      </c>
      <c r="E94" s="345">
        <f>IFERROR(VLOOKUP($B94,'[4]6-Hm Budget Total-FY21 (P&amp;L)'!$B$40:$O$117,4,FALSE),0)</f>
        <v>200</v>
      </c>
      <c r="F94" s="345">
        <f>IFERROR(VLOOKUP($B94,'[4]6-Hm Budget Total-FY21 (P&amp;L)'!$B$40:$O$117,5,FALSE),0)</f>
        <v>200</v>
      </c>
      <c r="G94" s="345">
        <f>IFERROR(VLOOKUP($B94,'[4]6-Hm Budget Total-FY21 (P&amp;L)'!$B$40:$O$117,6,FALSE),0)</f>
        <v>200</v>
      </c>
      <c r="H94" s="345">
        <f>IFERROR(VLOOKUP($B94,'[4]6-Hm Budget Total-FY21 (P&amp;L)'!$B$40:$O$117,7,FALSE),0)</f>
        <v>200</v>
      </c>
      <c r="I94" s="345">
        <f>IFERROR(VLOOKUP($B94,'[4]6-Hm Budget Total-FY21 (P&amp;L)'!$B$40:$O$117,8,FALSE),0)</f>
        <v>200</v>
      </c>
      <c r="J94" s="345">
        <f>IFERROR(VLOOKUP($B94,'[4]6-Hm Budget Total-FY21 (P&amp;L)'!$B$40:$O$117,9,FALSE),0)</f>
        <v>200</v>
      </c>
      <c r="K94" s="345">
        <f>IFERROR(VLOOKUP($B94,'[4]6-Hm Budget Total-FY21 (P&amp;L)'!$B$40:$O$117,10,FALSE),0)</f>
        <v>200</v>
      </c>
      <c r="L94" s="345">
        <f>IFERROR(VLOOKUP($B94,'[4]6-Hm Budget Total-FY21 (P&amp;L)'!$B$40:$O$117,11,FALSE),0)</f>
        <v>200</v>
      </c>
      <c r="M94" s="345">
        <f>IFERROR(VLOOKUP($B94,'[4]6-Hm Budget Total-FY21 (P&amp;L)'!$B$40:$O$117,12,FALSE),0)</f>
        <v>200</v>
      </c>
      <c r="N94" s="345">
        <f>IFERROR(VLOOKUP($B94,'[4]6-Hm Budget Total-FY21 (P&amp;L)'!$B$40:$O$117,13,FALSE),0)</f>
        <v>200</v>
      </c>
      <c r="O94" s="345">
        <f>IFERROR(VLOOKUP($B94,'[4]6-Hm Budget Total-FY21 (P&amp;L)'!$B$40:$O$117,14,FALSE),0)</f>
        <v>200</v>
      </c>
      <c r="P94" s="346">
        <f t="shared" si="2"/>
        <v>2400</v>
      </c>
      <c r="Q94" s="345"/>
      <c r="R94" s="99"/>
      <c r="S94" s="348">
        <v>2400</v>
      </c>
      <c r="T94" s="349">
        <v>8000</v>
      </c>
      <c r="U94" s="351">
        <f>'[4]6-Hm Budget Total-FY21 (P&amp;L)'!T109</f>
        <v>4458.7700000000004</v>
      </c>
      <c r="V94" s="351">
        <f>'[4]6-Hm FY21 Budget Variance (P&amp;L)'!G114</f>
        <v>4458.7700000000004</v>
      </c>
    </row>
    <row r="95" spans="2:22" x14ac:dyDescent="0.2">
      <c r="B95" s="268" t="s">
        <v>465</v>
      </c>
      <c r="C95" s="363" t="s">
        <v>466</v>
      </c>
      <c r="D95" s="345">
        <f>IFERROR(VLOOKUP($B95,'[4]6-Hm Budget Total-FY21 (P&amp;L)'!$B$40:$O$117,3,FALSE),0)</f>
        <v>525</v>
      </c>
      <c r="E95" s="345">
        <f>IFERROR(VLOOKUP($B95,'[4]6-Hm Budget Total-FY21 (P&amp;L)'!$B$40:$O$117,4,FALSE),0)</f>
        <v>75</v>
      </c>
      <c r="F95" s="345">
        <f>IFERROR(VLOOKUP($B95,'[4]6-Hm Budget Total-FY21 (P&amp;L)'!$B$40:$O$117,5,FALSE),0)</f>
        <v>75</v>
      </c>
      <c r="G95" s="345">
        <f>IFERROR(VLOOKUP($B95,'[4]6-Hm Budget Total-FY21 (P&amp;L)'!$B$40:$O$117,6,FALSE),0)</f>
        <v>75</v>
      </c>
      <c r="H95" s="345">
        <f>IFERROR(VLOOKUP($B95,'[4]6-Hm Budget Total-FY21 (P&amp;L)'!$B$40:$O$117,7,FALSE),0)</f>
        <v>75</v>
      </c>
      <c r="I95" s="345">
        <f>IFERROR(VLOOKUP($B95,'[4]6-Hm Budget Total-FY21 (P&amp;L)'!$B$40:$O$117,8,FALSE),0)</f>
        <v>75</v>
      </c>
      <c r="J95" s="345">
        <f>IFERROR(VLOOKUP($B95,'[4]6-Hm Budget Total-FY21 (P&amp;L)'!$B$40:$O$117,9,FALSE),0)</f>
        <v>75</v>
      </c>
      <c r="K95" s="345">
        <f>IFERROR(VLOOKUP($B95,'[4]6-Hm Budget Total-FY21 (P&amp;L)'!$B$40:$O$117,10,FALSE),0)</f>
        <v>75</v>
      </c>
      <c r="L95" s="345">
        <f>IFERROR(VLOOKUP($B95,'[4]6-Hm Budget Total-FY21 (P&amp;L)'!$B$40:$O$117,11,FALSE),0)</f>
        <v>75</v>
      </c>
      <c r="M95" s="345">
        <f>IFERROR(VLOOKUP($B95,'[4]6-Hm Budget Total-FY21 (P&amp;L)'!$B$40:$O$117,12,FALSE),0)</f>
        <v>75</v>
      </c>
      <c r="N95" s="345">
        <f>IFERROR(VLOOKUP($B95,'[4]6-Hm Budget Total-FY21 (P&amp;L)'!$B$40:$O$117,13,FALSE),0)</f>
        <v>75</v>
      </c>
      <c r="O95" s="345">
        <f>IFERROR(VLOOKUP($B95,'[4]6-Hm Budget Total-FY21 (P&amp;L)'!$B$40:$O$117,14,FALSE),0)</f>
        <v>75</v>
      </c>
      <c r="P95" s="346">
        <f t="shared" si="2"/>
        <v>1350</v>
      </c>
      <c r="Q95" s="345"/>
      <c r="R95" s="99"/>
      <c r="S95" s="348">
        <v>1350</v>
      </c>
      <c r="T95" s="349"/>
      <c r="U95" s="351">
        <f>'[4]6-Hm Budget Total-FY21 (P&amp;L)'!T110</f>
        <v>555.53</v>
      </c>
      <c r="V95" s="351">
        <f>'[4]6-Hm FY21 Budget Variance (P&amp;L)'!G115</f>
        <v>555.53</v>
      </c>
    </row>
    <row r="96" spans="2:22" x14ac:dyDescent="0.2">
      <c r="B96" s="268" t="s">
        <v>345</v>
      </c>
      <c r="C96" s="363" t="s">
        <v>346</v>
      </c>
      <c r="D96" s="345">
        <f>IFERROR(VLOOKUP($B96,'[4]6-Hm Budget Total-FY21 (P&amp;L)'!$B$40:$O$117,3,FALSE),0)</f>
        <v>0</v>
      </c>
      <c r="E96" s="345">
        <f>IFERROR(VLOOKUP($B96,'[4]6-Hm Budget Total-FY21 (P&amp;L)'!$B$40:$O$117,4,FALSE),0)</f>
        <v>0</v>
      </c>
      <c r="F96" s="345">
        <f>IFERROR(VLOOKUP($B96,'[4]6-Hm Budget Total-FY21 (P&amp;L)'!$B$40:$O$117,5,FALSE),0)</f>
        <v>0</v>
      </c>
      <c r="G96" s="345">
        <f>IFERROR(VLOOKUP($B96,'[4]6-Hm Budget Total-FY21 (P&amp;L)'!$B$40:$O$117,6,FALSE),0)</f>
        <v>0</v>
      </c>
      <c r="H96" s="345">
        <f>IFERROR(VLOOKUP($B96,'[4]6-Hm Budget Total-FY21 (P&amp;L)'!$B$40:$O$117,7,FALSE),0)</f>
        <v>0</v>
      </c>
      <c r="I96" s="345">
        <f>IFERROR(VLOOKUP($B96,'[4]6-Hm Budget Total-FY21 (P&amp;L)'!$B$40:$O$117,8,FALSE),0)</f>
        <v>0</v>
      </c>
      <c r="J96" s="345">
        <f>IFERROR(VLOOKUP($B96,'[4]6-Hm Budget Total-FY21 (P&amp;L)'!$B$40:$O$117,9,FALSE),0)</f>
        <v>0</v>
      </c>
      <c r="K96" s="345">
        <f>IFERROR(VLOOKUP($B96,'[4]6-Hm Budget Total-FY21 (P&amp;L)'!$B$40:$O$117,10,FALSE),0)</f>
        <v>0</v>
      </c>
      <c r="L96" s="345">
        <f>IFERROR(VLOOKUP($B96,'[4]6-Hm Budget Total-FY21 (P&amp;L)'!$B$40:$O$117,11,FALSE),0)</f>
        <v>0</v>
      </c>
      <c r="M96" s="345">
        <f>IFERROR(VLOOKUP($B96,'[4]6-Hm Budget Total-FY21 (P&amp;L)'!$B$40:$O$117,12,FALSE),0)</f>
        <v>12500</v>
      </c>
      <c r="N96" s="345">
        <f>IFERROR(VLOOKUP($B96,'[4]6-Hm Budget Total-FY21 (P&amp;L)'!$B$40:$O$117,13,FALSE),0)</f>
        <v>0</v>
      </c>
      <c r="O96" s="345">
        <f>IFERROR(VLOOKUP($B96,'[4]6-Hm Budget Total-FY21 (P&amp;L)'!$B$40:$O$117,14,FALSE),0)</f>
        <v>-2500</v>
      </c>
      <c r="P96" s="346">
        <f t="shared" si="2"/>
        <v>10000</v>
      </c>
      <c r="Q96" s="345"/>
      <c r="R96" s="99"/>
      <c r="S96" s="348">
        <v>12500</v>
      </c>
      <c r="T96" s="349">
        <v>10000</v>
      </c>
      <c r="U96" s="351">
        <f>'[4]6-Hm Budget Total-FY21 (P&amp;L)'!T111</f>
        <v>0</v>
      </c>
      <c r="V96" s="351">
        <f>'[4]6-Hm FY21 Budget Variance (P&amp;L)'!G116</f>
        <v>0</v>
      </c>
    </row>
    <row r="97" spans="2:22" x14ac:dyDescent="0.2">
      <c r="B97" s="268">
        <v>5208</v>
      </c>
      <c r="C97" s="363" t="s">
        <v>196</v>
      </c>
      <c r="D97" s="345">
        <f>IFERROR(VLOOKUP($B97,'[4]6-Hm Budget Total-FY21 (P&amp;L)'!$B$40:$O$117,3,FALSE),0)</f>
        <v>1800</v>
      </c>
      <c r="E97" s="345">
        <f>IFERROR(VLOOKUP($B97,'[4]6-Hm Budget Total-FY21 (P&amp;L)'!$B$40:$O$117,4,FALSE),0)</f>
        <v>1100</v>
      </c>
      <c r="F97" s="345">
        <f>IFERROR(VLOOKUP($B97,'[4]6-Hm Budget Total-FY21 (P&amp;L)'!$B$40:$O$117,5,FALSE),0)</f>
        <v>800</v>
      </c>
      <c r="G97" s="345">
        <f>IFERROR(VLOOKUP($B97,'[4]6-Hm Budget Total-FY21 (P&amp;L)'!$B$40:$O$117,6,FALSE),0)</f>
        <v>800</v>
      </c>
      <c r="H97" s="345">
        <f>IFERROR(VLOOKUP($B97,'[4]6-Hm Budget Total-FY21 (P&amp;L)'!$B$40:$O$117,7,FALSE),0)</f>
        <v>1100</v>
      </c>
      <c r="I97" s="345">
        <f>IFERROR(VLOOKUP($B97,'[4]6-Hm Budget Total-FY21 (P&amp;L)'!$B$40:$O$117,8,FALSE),0)</f>
        <v>800</v>
      </c>
      <c r="J97" s="345">
        <f>IFERROR(VLOOKUP($B97,'[4]6-Hm Budget Total-FY21 (P&amp;L)'!$B$40:$O$117,9,FALSE),0)</f>
        <v>800</v>
      </c>
      <c r="K97" s="345">
        <f>IFERROR(VLOOKUP($B97,'[4]6-Hm Budget Total-FY21 (P&amp;L)'!$B$40:$O$117,10,FALSE),0)</f>
        <v>800</v>
      </c>
      <c r="L97" s="345">
        <f>IFERROR(VLOOKUP($B97,'[4]6-Hm Budget Total-FY21 (P&amp;L)'!$B$40:$O$117,11,FALSE),0)</f>
        <v>1350</v>
      </c>
      <c r="M97" s="345">
        <f>IFERROR(VLOOKUP($B97,'[4]6-Hm Budget Total-FY21 (P&amp;L)'!$B$40:$O$117,12,FALSE),0)</f>
        <v>1050</v>
      </c>
      <c r="N97" s="345">
        <f>IFERROR(VLOOKUP($B97,'[4]6-Hm Budget Total-FY21 (P&amp;L)'!$B$40:$O$117,13,FALSE),0)</f>
        <v>1350</v>
      </c>
      <c r="O97" s="345">
        <f>IFERROR(VLOOKUP($B97,'[4]6-Hm Budget Total-FY21 (P&amp;L)'!$B$40:$O$117,14,FALSE),0)</f>
        <v>1050</v>
      </c>
      <c r="P97" s="346">
        <f t="shared" si="2"/>
        <v>12800</v>
      </c>
      <c r="Q97" s="345"/>
      <c r="R97" s="99"/>
      <c r="S97" s="348">
        <v>12800</v>
      </c>
      <c r="T97" s="349">
        <v>9100</v>
      </c>
      <c r="U97" s="351">
        <f>'[4]6-Hm Budget Total-FY21 (P&amp;L)'!T112</f>
        <v>3784.65</v>
      </c>
      <c r="V97" s="351">
        <f>'[4]6-Hm FY21 Budget Variance (P&amp;L)'!G117</f>
        <v>5284.65</v>
      </c>
    </row>
    <row r="98" spans="2:22" x14ac:dyDescent="0.2">
      <c r="B98" s="268" t="s">
        <v>467</v>
      </c>
      <c r="C98" s="363" t="s">
        <v>468</v>
      </c>
      <c r="D98" s="345">
        <f>IFERROR(VLOOKUP($B98,'[4]6-Hm Budget Total-FY21 (P&amp;L)'!$B$40:$O$117,3,FALSE),0)</f>
        <v>0</v>
      </c>
      <c r="E98" s="345">
        <f>IFERROR(VLOOKUP($B98,'[4]6-Hm Budget Total-FY21 (P&amp;L)'!$B$40:$O$117,4,FALSE),0)</f>
        <v>0</v>
      </c>
      <c r="F98" s="345">
        <f>IFERROR(VLOOKUP($B98,'[4]6-Hm Budget Total-FY21 (P&amp;L)'!$B$40:$O$117,5,FALSE),0)</f>
        <v>50</v>
      </c>
      <c r="G98" s="345">
        <f>IFERROR(VLOOKUP($B98,'[4]6-Hm Budget Total-FY21 (P&amp;L)'!$B$40:$O$117,6,FALSE),0)</f>
        <v>0</v>
      </c>
      <c r="H98" s="345">
        <f>IFERROR(VLOOKUP($B98,'[4]6-Hm Budget Total-FY21 (P&amp;L)'!$B$40:$O$117,7,FALSE),0)</f>
        <v>0</v>
      </c>
      <c r="I98" s="345">
        <f>IFERROR(VLOOKUP($B98,'[4]6-Hm Budget Total-FY21 (P&amp;L)'!$B$40:$O$117,8,FALSE),0)</f>
        <v>0</v>
      </c>
      <c r="J98" s="345">
        <f>IFERROR(VLOOKUP($B98,'[4]6-Hm Budget Total-FY21 (P&amp;L)'!$B$40:$O$117,9,FALSE),0)</f>
        <v>0</v>
      </c>
      <c r="K98" s="345">
        <f>IFERROR(VLOOKUP($B98,'[4]6-Hm Budget Total-FY21 (P&amp;L)'!$B$40:$O$117,10,FALSE),0)</f>
        <v>0</v>
      </c>
      <c r="L98" s="345">
        <f>IFERROR(VLOOKUP($B98,'[4]6-Hm Budget Total-FY21 (P&amp;L)'!$B$40:$O$117,11,FALSE),0)</f>
        <v>50</v>
      </c>
      <c r="M98" s="345">
        <f>IFERROR(VLOOKUP($B98,'[4]6-Hm Budget Total-FY21 (P&amp;L)'!$B$40:$O$117,12,FALSE),0)</f>
        <v>0</v>
      </c>
      <c r="N98" s="345">
        <f>IFERROR(VLOOKUP($B98,'[4]6-Hm Budget Total-FY21 (P&amp;L)'!$B$40:$O$117,13,FALSE),0)</f>
        <v>0</v>
      </c>
      <c r="O98" s="345">
        <f>IFERROR(VLOOKUP($B98,'[4]6-Hm Budget Total-FY21 (P&amp;L)'!$B$40:$O$117,14,FALSE),0)</f>
        <v>0</v>
      </c>
      <c r="P98" s="346">
        <f t="shared" si="2"/>
        <v>100</v>
      </c>
      <c r="Q98" s="345"/>
      <c r="R98" s="99"/>
      <c r="S98" s="348">
        <v>100</v>
      </c>
      <c r="T98" s="349">
        <v>600</v>
      </c>
      <c r="U98" s="351">
        <f>'[4]6-Hm Budget Total-FY21 (P&amp;L)'!T113</f>
        <v>255.16</v>
      </c>
      <c r="V98" s="351">
        <f>'[4]6-Hm FY21 Budget Variance (P&amp;L)'!G118</f>
        <v>255.16</v>
      </c>
    </row>
    <row r="99" spans="2:22" x14ac:dyDescent="0.2">
      <c r="B99" s="268" t="s">
        <v>469</v>
      </c>
      <c r="C99" s="363" t="s">
        <v>470</v>
      </c>
      <c r="D99" s="345">
        <f>IFERROR(VLOOKUP($B99,'[4]6-Hm Budget Total-FY21 (P&amp;L)'!$B$40:$O$117,3,FALSE),0)</f>
        <v>0</v>
      </c>
      <c r="E99" s="345">
        <f>IFERROR(VLOOKUP($B99,'[4]6-Hm Budget Total-FY21 (P&amp;L)'!$B$40:$O$117,4,FALSE),0)</f>
        <v>0</v>
      </c>
      <c r="F99" s="345">
        <f>IFERROR(VLOOKUP($B99,'[4]6-Hm Budget Total-FY21 (P&amp;L)'!$B$40:$O$117,5,FALSE),0)</f>
        <v>0</v>
      </c>
      <c r="G99" s="345">
        <f>IFERROR(VLOOKUP($B99,'[4]6-Hm Budget Total-FY21 (P&amp;L)'!$B$40:$O$117,6,FALSE),0)</f>
        <v>0</v>
      </c>
      <c r="H99" s="345">
        <f>IFERROR(VLOOKUP($B99,'[4]6-Hm Budget Total-FY21 (P&amp;L)'!$B$40:$O$117,7,FALSE),0)</f>
        <v>0</v>
      </c>
      <c r="I99" s="345">
        <f>IFERROR(VLOOKUP($B99,'[4]6-Hm Budget Total-FY21 (P&amp;L)'!$B$40:$O$117,8,FALSE),0)</f>
        <v>0</v>
      </c>
      <c r="J99" s="345">
        <f>IFERROR(VLOOKUP($B99,'[4]6-Hm Budget Total-FY21 (P&amp;L)'!$B$40:$O$117,9,FALSE),0)</f>
        <v>0</v>
      </c>
      <c r="K99" s="345">
        <f>IFERROR(VLOOKUP($B99,'[4]6-Hm Budget Total-FY21 (P&amp;L)'!$B$40:$O$117,10,FALSE),0)</f>
        <v>0</v>
      </c>
      <c r="L99" s="345">
        <f>IFERROR(VLOOKUP($B99,'[4]6-Hm Budget Total-FY21 (P&amp;L)'!$B$40:$O$117,11,FALSE),0)</f>
        <v>0</v>
      </c>
      <c r="M99" s="345">
        <f>IFERROR(VLOOKUP($B99,'[4]6-Hm Budget Total-FY21 (P&amp;L)'!$B$40:$O$117,12,FALSE),0)</f>
        <v>0</v>
      </c>
      <c r="N99" s="345">
        <f>IFERROR(VLOOKUP($B99,'[4]6-Hm Budget Total-FY21 (P&amp;L)'!$B$40:$O$117,13,FALSE),0)</f>
        <v>0</v>
      </c>
      <c r="O99" s="345">
        <f>IFERROR(VLOOKUP($B99,'[4]6-Hm Budget Total-FY21 (P&amp;L)'!$B$40:$O$117,14,FALSE),0)</f>
        <v>0</v>
      </c>
      <c r="P99" s="346">
        <f>(ROUNDUP(SUM(D99:O99),0))</f>
        <v>0</v>
      </c>
      <c r="Q99" s="345" t="s">
        <v>471</v>
      </c>
      <c r="R99" s="99"/>
      <c r="S99" s="348">
        <v>950</v>
      </c>
      <c r="T99" s="349"/>
      <c r="U99" s="351">
        <f>'[4]6-Hm Budget Total-FY21 (P&amp;L)'!T114</f>
        <v>2462.54</v>
      </c>
      <c r="V99" s="351">
        <f>'[4]6-Hm FY21 Budget Variance (P&amp;L)'!G119</f>
        <v>2462.54</v>
      </c>
    </row>
    <row r="100" spans="2:22" x14ac:dyDescent="0.2">
      <c r="B100" s="270" t="s">
        <v>347</v>
      </c>
      <c r="C100" s="363" t="s">
        <v>348</v>
      </c>
      <c r="D100" s="345">
        <f>IFERROR(VLOOKUP($B100,'[4]6-Hm Budget Total-FY21 (P&amp;L)'!$B$40:$O$117,3,FALSE),0)</f>
        <v>119906.66391666666</v>
      </c>
      <c r="E100" s="345">
        <f>IFERROR(VLOOKUP($B100,'[4]6-Hm Budget Total-FY21 (P&amp;L)'!$B$40:$O$117,4,FALSE),0)</f>
        <v>119906.66391666666</v>
      </c>
      <c r="F100" s="345">
        <f>IFERROR(VLOOKUP($B100,'[4]6-Hm Budget Total-FY21 (P&amp;L)'!$B$40:$O$117,5,FALSE),0)</f>
        <v>119906.66391666666</v>
      </c>
      <c r="G100" s="345">
        <f>IFERROR(VLOOKUP($B100,'[4]6-Hm Budget Total-FY21 (P&amp;L)'!$B$40:$O$117,6,FALSE),0)</f>
        <v>119906.66391666666</v>
      </c>
      <c r="H100" s="345">
        <f>IFERROR(VLOOKUP($B100,'[4]6-Hm Budget Total-FY21 (P&amp;L)'!$B$40:$O$117,7,FALSE),0)</f>
        <v>119906.66391666666</v>
      </c>
      <c r="I100" s="345">
        <f>IFERROR(VLOOKUP($B100,'[4]6-Hm Budget Total-FY21 (P&amp;L)'!$B$40:$O$117,8,FALSE),0)</f>
        <v>119906.66391666666</v>
      </c>
      <c r="J100" s="345">
        <f>IFERROR(VLOOKUP($B100,'[4]6-Hm Budget Total-FY21 (P&amp;L)'!$B$40:$O$117,9,FALSE),0)</f>
        <v>124073.33058333334</v>
      </c>
      <c r="K100" s="345">
        <f>IFERROR(VLOOKUP($B100,'[4]6-Hm Budget Total-FY21 (P&amp;L)'!$B$40:$O$117,10,FALSE),0)</f>
        <v>124073.33058333334</v>
      </c>
      <c r="L100" s="345">
        <f>IFERROR(VLOOKUP($B100,'[4]6-Hm Budget Total-FY21 (P&amp;L)'!$B$40:$O$117,11,FALSE),0)</f>
        <v>124073.33058333334</v>
      </c>
      <c r="M100" s="345">
        <f>IFERROR(VLOOKUP($B100,'[4]6-Hm Budget Total-FY21 (P&amp;L)'!$B$40:$O$117,12,FALSE),0)</f>
        <v>131699.99725000001</v>
      </c>
      <c r="N100" s="345">
        <f>IFERROR(VLOOKUP($B100,'[4]6-Hm Budget Total-FY21 (P&amp;L)'!$B$40:$O$117,13,FALSE),0)</f>
        <v>131699.99725000001</v>
      </c>
      <c r="O100" s="345">
        <f>IFERROR(VLOOKUP($B100,'[4]6-Hm Budget Total-FY21 (P&amp;L)'!$B$40:$O$117,14,FALSE),0)</f>
        <v>131699.99725000001</v>
      </c>
      <c r="P100" s="357">
        <f t="shared" si="2"/>
        <v>1486760</v>
      </c>
      <c r="Q100" s="345"/>
      <c r="R100" s="99"/>
      <c r="S100" s="348">
        <v>1637449</v>
      </c>
      <c r="T100" s="349">
        <v>1556903</v>
      </c>
      <c r="U100" s="351">
        <f>'[4]6-Hm Budget Total-FY21 (P&amp;L)'!T115</f>
        <v>1091882.01</v>
      </c>
      <c r="V100" s="351">
        <f>'[4]6-Hm FY21 Budget Variance (P&amp;L)'!G120</f>
        <v>1362627.17</v>
      </c>
    </row>
    <row r="101" spans="2:22" x14ac:dyDescent="0.2">
      <c r="B101" s="268">
        <v>5120</v>
      </c>
      <c r="C101" s="363" t="s">
        <v>197</v>
      </c>
      <c r="D101" s="345">
        <f>IFERROR(VLOOKUP($B101,'[4]6-Hm Budget Total-FY21 (P&amp;L)'!$B$40:$O$117,3,FALSE),0)</f>
        <v>500</v>
      </c>
      <c r="E101" s="345">
        <f>IFERROR(VLOOKUP($B101,'[4]6-Hm Budget Total-FY21 (P&amp;L)'!$B$40:$O$117,4,FALSE),0)</f>
        <v>500</v>
      </c>
      <c r="F101" s="345">
        <f>IFERROR(VLOOKUP($B101,'[4]6-Hm Budget Total-FY21 (P&amp;L)'!$B$40:$O$117,5,FALSE),0)</f>
        <v>500</v>
      </c>
      <c r="G101" s="345">
        <f>IFERROR(VLOOKUP($B101,'[4]6-Hm Budget Total-FY21 (P&amp;L)'!$B$40:$O$117,6,FALSE),0)</f>
        <v>500</v>
      </c>
      <c r="H101" s="345">
        <f>IFERROR(VLOOKUP($B101,'[4]6-Hm Budget Total-FY21 (P&amp;L)'!$B$40:$O$117,7,FALSE),0)</f>
        <v>500</v>
      </c>
      <c r="I101" s="345">
        <f>IFERROR(VLOOKUP($B101,'[4]6-Hm Budget Total-FY21 (P&amp;L)'!$B$40:$O$117,8,FALSE),0)</f>
        <v>500</v>
      </c>
      <c r="J101" s="345">
        <f>IFERROR(VLOOKUP($B101,'[4]6-Hm Budget Total-FY21 (P&amp;L)'!$B$40:$O$117,9,FALSE),0)</f>
        <v>500</v>
      </c>
      <c r="K101" s="345">
        <f>IFERROR(VLOOKUP($B101,'[4]6-Hm Budget Total-FY21 (P&amp;L)'!$B$40:$O$117,10,FALSE),0)</f>
        <v>500</v>
      </c>
      <c r="L101" s="345">
        <f>IFERROR(VLOOKUP($B101,'[4]6-Hm Budget Total-FY21 (P&amp;L)'!$B$40:$O$117,11,FALSE),0)</f>
        <v>500</v>
      </c>
      <c r="M101" s="345">
        <f>IFERROR(VLOOKUP($B101,'[4]6-Hm Budget Total-FY21 (P&amp;L)'!$B$40:$O$117,12,FALSE),0)</f>
        <v>500</v>
      </c>
      <c r="N101" s="345">
        <f>IFERROR(VLOOKUP($B101,'[4]6-Hm Budget Total-FY21 (P&amp;L)'!$B$40:$O$117,13,FALSE),0)</f>
        <v>500</v>
      </c>
      <c r="O101" s="345">
        <f>IFERROR(VLOOKUP($B101,'[4]6-Hm Budget Total-FY21 (P&amp;L)'!$B$40:$O$117,14,FALSE),0)</f>
        <v>500</v>
      </c>
      <c r="P101" s="346">
        <f>(ROUNDUP(SUM(D101:O101),0))</f>
        <v>6000</v>
      </c>
      <c r="Q101" s="345"/>
      <c r="R101" s="99">
        <v>-12000</v>
      </c>
      <c r="S101" s="348">
        <v>6000</v>
      </c>
      <c r="T101" s="349">
        <v>15000</v>
      </c>
      <c r="U101" s="351">
        <f>'[4]6-Hm Budget Total-FY21 (P&amp;L)'!T116</f>
        <v>1816.38</v>
      </c>
      <c r="V101" s="351">
        <f>'[4]6-Hm FY21 Budget Variance (P&amp;L)'!G121</f>
        <v>2816.38</v>
      </c>
    </row>
    <row r="102" spans="2:22" x14ac:dyDescent="0.2">
      <c r="B102" s="270" t="s">
        <v>349</v>
      </c>
      <c r="C102" s="363" t="s">
        <v>198</v>
      </c>
      <c r="D102" s="345">
        <f>IFERROR(VLOOKUP($B102,'[4]6-Hm Budget Total-FY21 (P&amp;L)'!$B$40:$O$117,3,FALSE),0)</f>
        <v>10089.466666666667</v>
      </c>
      <c r="E102" s="345">
        <f>IFERROR(VLOOKUP($B102,'[4]6-Hm Budget Total-FY21 (P&amp;L)'!$B$40:$O$117,4,FALSE),0)</f>
        <v>10089.466666666667</v>
      </c>
      <c r="F102" s="345">
        <f>IFERROR(VLOOKUP($B102,'[4]6-Hm Budget Total-FY21 (P&amp;L)'!$B$40:$O$117,5,FALSE),0)</f>
        <v>10089.466666666667</v>
      </c>
      <c r="G102" s="345">
        <f>IFERROR(VLOOKUP($B102,'[4]6-Hm Budget Total-FY21 (P&amp;L)'!$B$40:$O$117,6,FALSE),0)</f>
        <v>10089.466666666667</v>
      </c>
      <c r="H102" s="345">
        <f>IFERROR(VLOOKUP($B102,'[4]6-Hm Budget Total-FY21 (P&amp;L)'!$B$40:$O$117,7,FALSE),0)</f>
        <v>10089.466666666667</v>
      </c>
      <c r="I102" s="345">
        <f>IFERROR(VLOOKUP($B102,'[4]6-Hm Budget Total-FY21 (P&amp;L)'!$B$40:$O$117,8,FALSE),0)</f>
        <v>10089.466666666667</v>
      </c>
      <c r="J102" s="345">
        <f>IFERROR(VLOOKUP($B102,'[4]6-Hm Budget Total-FY21 (P&amp;L)'!$B$40:$O$117,9,FALSE),0)</f>
        <v>0</v>
      </c>
      <c r="K102" s="345">
        <f>IFERROR(VLOOKUP($B102,'[4]6-Hm Budget Total-FY21 (P&amp;L)'!$B$40:$O$117,10,FALSE),0)</f>
        <v>0</v>
      </c>
      <c r="L102" s="345">
        <f>IFERROR(VLOOKUP($B102,'[4]6-Hm Budget Total-FY21 (P&amp;L)'!$B$40:$O$117,11,FALSE),0)</f>
        <v>0</v>
      </c>
      <c r="M102" s="345">
        <f>IFERROR(VLOOKUP($B102,'[4]6-Hm Budget Total-FY21 (P&amp;L)'!$B$40:$O$117,12,FALSE),0)</f>
        <v>12298.413333333336</v>
      </c>
      <c r="N102" s="345">
        <f>IFERROR(VLOOKUP($B102,'[4]6-Hm Budget Total-FY21 (P&amp;L)'!$B$40:$O$117,13,FALSE),0)</f>
        <v>12298.413333333336</v>
      </c>
      <c r="O102" s="345">
        <f>IFERROR(VLOOKUP($B102,'[4]6-Hm Budget Total-FY21 (P&amp;L)'!$B$40:$O$117,14,FALSE),0)</f>
        <v>12298.413333333336</v>
      </c>
      <c r="P102" s="357">
        <f>(ROUNDUP(SUM(D102:O102),0))</f>
        <v>97433</v>
      </c>
      <c r="Q102" s="345"/>
      <c r="R102" s="99">
        <v>7000</v>
      </c>
      <c r="S102" s="348">
        <v>100833</v>
      </c>
      <c r="T102" s="349">
        <v>69121</v>
      </c>
      <c r="U102" s="351">
        <f>'[4]6-Hm Budget Total-FY21 (P&amp;L)'!T117</f>
        <v>37380</v>
      </c>
      <c r="V102" s="351">
        <f>'[4]6-Hm FY21 Budget Variance (P&amp;L)'!G122</f>
        <v>52280</v>
      </c>
    </row>
    <row r="103" spans="2:22" x14ac:dyDescent="0.2">
      <c r="B103" s="270"/>
      <c r="C103" s="353" t="s">
        <v>235</v>
      </c>
      <c r="D103" s="345">
        <v>4889.3599999999997</v>
      </c>
      <c r="E103" s="345">
        <v>4821.96</v>
      </c>
      <c r="F103" s="345">
        <v>4840.6499999999996</v>
      </c>
      <c r="G103" s="345">
        <v>4943.93</v>
      </c>
      <c r="H103" s="345">
        <v>4878.5600000000004</v>
      </c>
      <c r="I103" s="345">
        <v>4980.7700000000004</v>
      </c>
      <c r="J103" s="345">
        <v>4916.7700000000004</v>
      </c>
      <c r="K103" s="345">
        <v>4935.82</v>
      </c>
      <c r="L103" s="345">
        <v>5199.28</v>
      </c>
      <c r="M103" s="345">
        <v>4975.09</v>
      </c>
      <c r="N103" s="345">
        <v>5074.54</v>
      </c>
      <c r="O103" s="345">
        <v>5014.03</v>
      </c>
      <c r="P103" s="357">
        <f>(ROUNDUP(SUM(D103:O103),0))</f>
        <v>59471</v>
      </c>
      <c r="Q103" s="345"/>
      <c r="R103" s="347"/>
      <c r="S103" s="349">
        <v>59471</v>
      </c>
      <c r="T103" s="349">
        <v>56738</v>
      </c>
      <c r="U103" s="351">
        <v>42352.55</v>
      </c>
      <c r="V103" s="351">
        <v>52441.120000000003</v>
      </c>
    </row>
    <row r="104" spans="2:22" x14ac:dyDescent="0.2">
      <c r="B104" s="270"/>
      <c r="C104" s="353" t="s">
        <v>236</v>
      </c>
      <c r="D104" s="345"/>
      <c r="E104" s="345"/>
      <c r="F104" s="345"/>
      <c r="G104" s="345"/>
      <c r="H104" s="345"/>
      <c r="I104" s="345"/>
      <c r="J104" s="345"/>
      <c r="K104" s="345"/>
      <c r="L104" s="345"/>
      <c r="M104" s="345"/>
      <c r="N104" s="345"/>
      <c r="O104" s="345">
        <f>85000+25700</f>
        <v>110700</v>
      </c>
      <c r="P104" s="357">
        <f>(ROUNDUP(SUM(D104:O104),0))</f>
        <v>110700</v>
      </c>
      <c r="Q104" s="372" t="s">
        <v>472</v>
      </c>
      <c r="R104" s="347"/>
      <c r="S104" s="349">
        <v>0</v>
      </c>
      <c r="T104" s="349">
        <v>105000</v>
      </c>
      <c r="U104" s="351">
        <v>74891.210000000006</v>
      </c>
      <c r="V104" s="351">
        <v>0</v>
      </c>
    </row>
    <row r="105" spans="2:22" x14ac:dyDescent="0.2">
      <c r="B105" s="363"/>
      <c r="C105" s="353" t="s">
        <v>237</v>
      </c>
      <c r="D105" s="345">
        <f>'[4]Construction CIP'!L23</f>
        <v>30963.323333333334</v>
      </c>
      <c r="E105" s="345">
        <f>'[4]Construction CIP'!M23</f>
        <v>44329.115333333335</v>
      </c>
      <c r="F105" s="345">
        <f>'[4]Construction CIP'!N23</f>
        <v>29654.65</v>
      </c>
      <c r="G105" s="345">
        <f>'[4]Construction CIP'!O23</f>
        <v>81250</v>
      </c>
      <c r="H105" s="345">
        <f>'[4]Construction CIP'!P23</f>
        <v>72250</v>
      </c>
      <c r="I105" s="345">
        <f>'[4]Construction CIP'!Q23</f>
        <v>82500</v>
      </c>
      <c r="J105" s="345">
        <f>'[4]Construction CIP'!R23</f>
        <v>87500</v>
      </c>
      <c r="K105" s="345">
        <f>'[4]Construction CIP'!S23</f>
        <v>75000</v>
      </c>
      <c r="L105" s="345">
        <f>'[4]Construction CIP'!T23</f>
        <v>66000</v>
      </c>
      <c r="M105" s="345">
        <f>'[4]Construction CIP'!U23</f>
        <v>66000</v>
      </c>
      <c r="N105" s="345">
        <f>'[4]Construction CIP'!V23</f>
        <v>79500</v>
      </c>
      <c r="O105" s="345">
        <f>'[4]Construction CIP'!W23</f>
        <v>60000</v>
      </c>
      <c r="P105" s="357">
        <f>(ROUNDUP(SUM(D105:O105),0))</f>
        <v>774948</v>
      </c>
      <c r="Q105" s="373"/>
      <c r="R105" s="347"/>
      <c r="S105" s="349">
        <v>819500</v>
      </c>
      <c r="T105" s="349">
        <v>546250</v>
      </c>
      <c r="U105" s="351">
        <v>802206.35</v>
      </c>
      <c r="V105" s="351">
        <v>105500</v>
      </c>
    </row>
    <row r="106" spans="2:22" x14ac:dyDescent="0.2">
      <c r="B106" s="363"/>
      <c r="C106" s="353" t="s">
        <v>473</v>
      </c>
      <c r="D106" s="345"/>
      <c r="E106" s="345"/>
      <c r="F106" s="345"/>
      <c r="G106" s="345"/>
      <c r="H106" s="345"/>
      <c r="I106" s="345"/>
      <c r="J106" s="345"/>
      <c r="K106" s="345"/>
      <c r="L106" s="345"/>
      <c r="M106" s="345"/>
      <c r="N106" s="345"/>
      <c r="O106" s="345"/>
      <c r="P106" s="475">
        <f>50000*2</f>
        <v>100000</v>
      </c>
      <c r="Q106" s="373"/>
      <c r="R106" s="347"/>
      <c r="S106" s="349"/>
      <c r="T106" s="349"/>
      <c r="U106" s="351"/>
      <c r="V106" s="351"/>
    </row>
    <row r="107" spans="2:22" x14ac:dyDescent="0.2">
      <c r="B107" s="363"/>
      <c r="C107" s="353" t="s">
        <v>474</v>
      </c>
      <c r="D107" s="345"/>
      <c r="E107" s="345"/>
      <c r="F107" s="345"/>
      <c r="G107" s="345"/>
      <c r="H107" s="345"/>
      <c r="I107" s="345"/>
      <c r="J107" s="345"/>
      <c r="K107" s="345"/>
      <c r="L107" s="345"/>
      <c r="M107" s="345"/>
      <c r="N107" s="345"/>
      <c r="O107" s="345"/>
      <c r="P107" s="475">
        <f>-18000+18000</f>
        <v>0</v>
      </c>
      <c r="Q107" s="373"/>
      <c r="R107" s="347"/>
      <c r="S107" s="349"/>
      <c r="T107" s="349"/>
      <c r="U107" s="351"/>
      <c r="V107" s="351"/>
    </row>
    <row r="108" spans="2:22" x14ac:dyDescent="0.2">
      <c r="B108" s="363"/>
      <c r="C108" s="353" t="s">
        <v>357</v>
      </c>
      <c r="D108" s="345">
        <f>IFERROR(VLOOKUP($B108,'[4]6-Hm Budget Total-FY21 (P&amp;L)'!$B$40:$O$117,3,FALSE),0)</f>
        <v>0</v>
      </c>
      <c r="E108" s="345">
        <f>IFERROR(VLOOKUP($B108,'[4]6-Hm Budget Total-FY21 (P&amp;L)'!$B$40:$O$117,4,FALSE),0)</f>
        <v>0</v>
      </c>
      <c r="F108" s="345">
        <f>IFERROR(VLOOKUP($B108,'[4]6-Hm Budget Total-FY21 (P&amp;L)'!$B$40:$O$117,5,FALSE),0)</f>
        <v>0</v>
      </c>
      <c r="G108" s="345">
        <f>IFERROR(VLOOKUP($B108,'[4]6-Hm Budget Total-FY21 (P&amp;L)'!$B$40:$O$117,6,FALSE),0)</f>
        <v>0</v>
      </c>
      <c r="H108" s="345">
        <f>IFERROR(VLOOKUP($B108,'[4]6-Hm Budget Total-FY21 (P&amp;L)'!$B$40:$O$117,7,FALSE),0)</f>
        <v>0</v>
      </c>
      <c r="I108" s="345">
        <f>IFERROR(VLOOKUP($B108,'[4]6-Hm Budget Total-FY21 (P&amp;L)'!$B$40:$O$117,8,FALSE),0)</f>
        <v>0</v>
      </c>
      <c r="J108" s="345">
        <f>IFERROR(VLOOKUP($B108,'[4]6-Hm Budget Total-FY21 (P&amp;L)'!$B$40:$O$117,9,FALSE),0)</f>
        <v>0</v>
      </c>
      <c r="K108" s="345">
        <f>IFERROR(VLOOKUP($B108,'[4]6-Hm Budget Total-FY21 (P&amp;L)'!$B$40:$O$117,10,FALSE),0)</f>
        <v>0</v>
      </c>
      <c r="L108" s="345">
        <f>IFERROR(VLOOKUP($B108,'[4]6-Hm Budget Total-FY21 (P&amp;L)'!$B$40:$O$117,11,FALSE),0)</f>
        <v>0</v>
      </c>
      <c r="M108" s="345">
        <f>IFERROR(VLOOKUP($B108,'[4]6-Hm Budget Total-FY21 (P&amp;L)'!$B$40:$O$117,12,FALSE),0)</f>
        <v>0</v>
      </c>
      <c r="N108" s="345">
        <f>IFERROR(VLOOKUP($B108,'[4]6-Hm Budget Total-FY21 (P&amp;L)'!$B$40:$O$117,13,FALSE),0)</f>
        <v>0</v>
      </c>
      <c r="O108" s="345">
        <f>IFERROR(VLOOKUP($B108,'[4]6-Hm Budget Total-FY21 (P&amp;L)'!$B$40:$O$117,14,FALSE),0)</f>
        <v>0</v>
      </c>
      <c r="P108" s="475">
        <f>(ROUNDUP(SUM(D108:O108),0))</f>
        <v>0</v>
      </c>
      <c r="Q108" s="353"/>
      <c r="R108" s="347"/>
      <c r="S108" s="349">
        <v>0</v>
      </c>
      <c r="T108" s="349"/>
      <c r="U108" s="351"/>
      <c r="V108" s="351"/>
    </row>
    <row r="109" spans="2:22" x14ac:dyDescent="0.2">
      <c r="B109" s="363"/>
      <c r="C109" s="353" t="s">
        <v>358</v>
      </c>
      <c r="D109" s="345">
        <f>IFERROR(VLOOKUP($B109,'[4]6-Hm Budget Total-FY21 (P&amp;L)'!$B$40:$O$117,3,FALSE),0)</f>
        <v>0</v>
      </c>
      <c r="E109" s="345">
        <f>IFERROR(VLOOKUP($B109,'[4]6-Hm Budget Total-FY21 (P&amp;L)'!$B$40:$O$117,4,FALSE),0)</f>
        <v>0</v>
      </c>
      <c r="F109" s="345">
        <f>IFERROR(VLOOKUP($B109,'[4]6-Hm Budget Total-FY21 (P&amp;L)'!$B$40:$O$117,5,FALSE),0)</f>
        <v>0</v>
      </c>
      <c r="G109" s="345">
        <f>IFERROR(VLOOKUP($B109,'[4]6-Hm Budget Total-FY21 (P&amp;L)'!$B$40:$O$117,6,FALSE),0)</f>
        <v>0</v>
      </c>
      <c r="H109" s="345">
        <f>IFERROR(VLOOKUP($B109,'[4]6-Hm Budget Total-FY21 (P&amp;L)'!$B$40:$O$117,7,FALSE),0)</f>
        <v>0</v>
      </c>
      <c r="I109" s="345">
        <f>IFERROR(VLOOKUP($B109,'[4]6-Hm Budget Total-FY21 (P&amp;L)'!$B$40:$O$117,8,FALSE),0)</f>
        <v>0</v>
      </c>
      <c r="J109" s="345">
        <f>IFERROR(VLOOKUP($B109,'[4]6-Hm Budget Total-FY21 (P&amp;L)'!$B$40:$O$117,9,FALSE),0)</f>
        <v>0</v>
      </c>
      <c r="K109" s="345">
        <f>IFERROR(VLOOKUP($B109,'[4]6-Hm Budget Total-FY21 (P&amp;L)'!$B$40:$O$117,10,FALSE),0)</f>
        <v>0</v>
      </c>
      <c r="L109" s="345">
        <f>IFERROR(VLOOKUP($B109,'[4]6-Hm Budget Total-FY21 (P&amp;L)'!$B$40:$O$117,11,FALSE),0)</f>
        <v>0</v>
      </c>
      <c r="M109" s="345">
        <f>IFERROR(VLOOKUP($B109,'[4]6-Hm Budget Total-FY21 (P&amp;L)'!$B$40:$O$117,12,FALSE),0)</f>
        <v>0</v>
      </c>
      <c r="N109" s="345">
        <f>IFERROR(VLOOKUP($B109,'[4]6-Hm Budget Total-FY21 (P&amp;L)'!$B$40:$O$117,13,FALSE),0)</f>
        <v>0</v>
      </c>
      <c r="O109" s="345">
        <f>IFERROR(VLOOKUP($B109,'[4]6-Hm Budget Total-FY21 (P&amp;L)'!$B$40:$O$117,14,FALSE),0)</f>
        <v>0</v>
      </c>
      <c r="P109" s="475">
        <v>1026000</v>
      </c>
      <c r="Q109" s="353"/>
      <c r="R109" s="347"/>
      <c r="S109" s="349">
        <v>1026000</v>
      </c>
      <c r="T109" s="349"/>
      <c r="U109" s="351">
        <v>48783.1</v>
      </c>
      <c r="V109" s="351">
        <v>0</v>
      </c>
    </row>
    <row r="110" spans="2:22" x14ac:dyDescent="0.2">
      <c r="B110" s="363"/>
      <c r="C110" s="353" t="s">
        <v>475</v>
      </c>
      <c r="D110" s="347"/>
      <c r="E110" s="347"/>
      <c r="F110" s="347"/>
      <c r="G110" s="347"/>
      <c r="H110" s="347"/>
      <c r="I110" s="347"/>
      <c r="J110" s="347"/>
      <c r="K110" s="347"/>
      <c r="L110" s="347"/>
      <c r="M110" s="347"/>
      <c r="N110" s="347"/>
      <c r="O110" s="347"/>
      <c r="P110" s="475">
        <v>750000</v>
      </c>
      <c r="Q110" s="353"/>
      <c r="R110" s="347"/>
      <c r="S110" s="349">
        <v>750000</v>
      </c>
      <c r="T110" s="102"/>
      <c r="U110" s="374"/>
      <c r="V110" s="374">
        <v>0</v>
      </c>
    </row>
    <row r="111" spans="2:22" x14ac:dyDescent="0.2">
      <c r="B111" s="363"/>
      <c r="C111" s="353"/>
      <c r="D111" s="347"/>
      <c r="E111" s="347"/>
      <c r="F111" s="347"/>
      <c r="G111" s="347"/>
      <c r="H111" s="347"/>
      <c r="I111" s="347"/>
      <c r="J111" s="347"/>
      <c r="K111" s="347"/>
      <c r="L111" s="347"/>
      <c r="M111" s="347"/>
      <c r="N111" s="347"/>
      <c r="O111" s="347"/>
      <c r="P111" s="346"/>
      <c r="Q111" s="353"/>
      <c r="R111" s="347"/>
      <c r="S111" s="349">
        <v>0</v>
      </c>
      <c r="T111" s="102"/>
      <c r="U111" s="374"/>
      <c r="V111" s="374"/>
    </row>
    <row r="112" spans="2:22" x14ac:dyDescent="0.2">
      <c r="B112" s="363"/>
      <c r="C112" s="353"/>
      <c r="D112" s="347"/>
      <c r="E112" s="347"/>
      <c r="F112" s="347"/>
      <c r="G112" s="347"/>
      <c r="H112" s="347"/>
      <c r="I112" s="347"/>
      <c r="J112" s="347"/>
      <c r="K112" s="347"/>
      <c r="L112" s="347"/>
      <c r="M112" s="347"/>
      <c r="N112" s="347"/>
      <c r="O112" s="347"/>
      <c r="P112" s="346"/>
      <c r="Q112" s="353"/>
      <c r="R112" s="99"/>
      <c r="S112" s="375"/>
      <c r="T112" s="102"/>
      <c r="U112" s="353"/>
      <c r="V112" s="353"/>
    </row>
    <row r="113" spans="2:23" x14ac:dyDescent="0.2">
      <c r="B113" s="363"/>
      <c r="C113" s="363"/>
      <c r="D113" s="353"/>
      <c r="E113" s="353"/>
      <c r="F113" s="353"/>
      <c r="G113" s="353"/>
      <c r="H113" s="353"/>
      <c r="I113" s="353"/>
      <c r="J113" s="353"/>
      <c r="K113" s="353"/>
      <c r="L113" s="353"/>
      <c r="M113" s="353"/>
      <c r="N113" s="353"/>
      <c r="O113" s="353"/>
      <c r="P113" s="346"/>
      <c r="Q113" s="353"/>
      <c r="R113" s="99"/>
      <c r="S113" s="375">
        <v>0</v>
      </c>
      <c r="T113" s="353"/>
      <c r="U113" s="353"/>
      <c r="V113" s="353"/>
    </row>
    <row r="114" spans="2:23" ht="12" x14ac:dyDescent="0.25">
      <c r="B114" s="376" t="s">
        <v>22</v>
      </c>
      <c r="C114" s="376"/>
      <c r="D114" s="273">
        <f t="shared" ref="D114:P114" si="3">SUM(D36:D113)</f>
        <v>294889.4946841026</v>
      </c>
      <c r="E114" s="273">
        <f t="shared" si="3"/>
        <v>271872.09074629168</v>
      </c>
      <c r="F114" s="273">
        <f t="shared" si="3"/>
        <v>263823.37841295835</v>
      </c>
      <c r="G114" s="273">
        <f t="shared" si="3"/>
        <v>348082.40541295829</v>
      </c>
      <c r="H114" s="273">
        <f t="shared" si="3"/>
        <v>294822.79041295836</v>
      </c>
      <c r="I114" s="273">
        <f t="shared" si="3"/>
        <v>308906.72841295833</v>
      </c>
      <c r="J114" s="273">
        <f t="shared" si="3"/>
        <v>331124.75069295836</v>
      </c>
      <c r="K114" s="273">
        <f t="shared" si="3"/>
        <v>305432.96769295837</v>
      </c>
      <c r="L114" s="273">
        <f t="shared" si="3"/>
        <v>316141.21006795834</v>
      </c>
      <c r="M114" s="273">
        <f t="shared" si="3"/>
        <v>380828.60094014736</v>
      </c>
      <c r="N114" s="273">
        <f t="shared" si="3"/>
        <v>353429.64665920835</v>
      </c>
      <c r="O114" s="273">
        <f t="shared" si="3"/>
        <v>412461.71537795838</v>
      </c>
      <c r="P114" s="377">
        <f t="shared" si="3"/>
        <v>5739824</v>
      </c>
      <c r="Q114" s="301"/>
      <c r="R114" s="301">
        <v>-19000</v>
      </c>
      <c r="S114" s="301">
        <v>5779160</v>
      </c>
      <c r="T114" s="301">
        <f>SUM(T36:T113)</f>
        <v>3450930</v>
      </c>
      <c r="U114" s="301">
        <f>SUM(U36:U113)</f>
        <v>2963552.1900000004</v>
      </c>
      <c r="V114" s="301">
        <f>SUM(V36:V113)</f>
        <v>2628398.98</v>
      </c>
    </row>
    <row r="115" spans="2:23" x14ac:dyDescent="0.2">
      <c r="C115" s="362"/>
      <c r="D115" s="367"/>
      <c r="E115" s="367"/>
      <c r="F115" s="367"/>
      <c r="G115" s="367"/>
      <c r="H115" s="367"/>
      <c r="I115" s="367"/>
      <c r="J115" s="367"/>
      <c r="K115" s="367"/>
      <c r="L115" s="367"/>
      <c r="M115" s="367"/>
      <c r="N115" s="367"/>
      <c r="O115" s="367"/>
      <c r="Q115" s="378"/>
      <c r="R115" s="378"/>
      <c r="S115" s="378"/>
      <c r="T115" s="378"/>
      <c r="U115" s="378"/>
      <c r="V115" s="378"/>
    </row>
    <row r="116" spans="2:23" x14ac:dyDescent="0.2">
      <c r="Q116" s="378"/>
      <c r="R116" s="378"/>
      <c r="S116" s="378"/>
      <c r="T116" s="378"/>
      <c r="U116" s="378"/>
      <c r="V116" s="378"/>
    </row>
    <row r="117" spans="2:23" ht="12.6" thickBot="1" x14ac:dyDescent="0.3">
      <c r="B117" s="379" t="s">
        <v>351</v>
      </c>
      <c r="C117" s="379"/>
      <c r="D117" s="275">
        <f t="shared" ref="D117:P117" si="4">D34-D114</f>
        <v>248170.5053158974</v>
      </c>
      <c r="E117" s="275">
        <f t="shared" si="4"/>
        <v>29952.90925370832</v>
      </c>
      <c r="F117" s="275">
        <f t="shared" si="4"/>
        <v>-36438.378412958351</v>
      </c>
      <c r="G117" s="275">
        <f t="shared" si="4"/>
        <v>-46297.405412958295</v>
      </c>
      <c r="H117" s="275">
        <f t="shared" si="4"/>
        <v>-47597.790412958362</v>
      </c>
      <c r="I117" s="275">
        <f t="shared" si="4"/>
        <v>24803.271587041672</v>
      </c>
      <c r="J117" s="275">
        <f t="shared" si="4"/>
        <v>-92964.750692958361</v>
      </c>
      <c r="K117" s="275">
        <f t="shared" si="4"/>
        <v>-81347.967692958366</v>
      </c>
      <c r="L117" s="275">
        <f t="shared" si="4"/>
        <v>-32067.210067958338</v>
      </c>
      <c r="M117" s="275">
        <f t="shared" si="4"/>
        <v>-56898.600940147357</v>
      </c>
      <c r="N117" s="275">
        <f t="shared" si="4"/>
        <v>-67754.646659208345</v>
      </c>
      <c r="O117" s="275">
        <f t="shared" si="4"/>
        <v>-119339.71537795838</v>
      </c>
      <c r="P117" s="380">
        <f t="shared" si="4"/>
        <v>-2124640</v>
      </c>
      <c r="Q117" s="299"/>
      <c r="R117" s="299">
        <v>19000</v>
      </c>
      <c r="S117" s="299">
        <v>-2398171</v>
      </c>
      <c r="T117" s="299">
        <f>T34-T114</f>
        <v>-85033.080000000075</v>
      </c>
      <c r="U117" s="299">
        <f>U34-U114</f>
        <v>323146.04999999935</v>
      </c>
      <c r="V117" s="299">
        <f>V34-V114</f>
        <v>986663.73</v>
      </c>
    </row>
    <row r="118" spans="2:23" ht="12" thickTop="1" x14ac:dyDescent="0.2"/>
    <row r="119" spans="2:23" x14ac:dyDescent="0.2">
      <c r="C119" s="362" t="s">
        <v>476</v>
      </c>
      <c r="O119" s="362" t="s">
        <v>477</v>
      </c>
      <c r="P119" s="335">
        <f>1947889.22+1170191.3+130707.96+102012.81</f>
        <v>3350801.29</v>
      </c>
    </row>
    <row r="120" spans="2:23" x14ac:dyDescent="0.2">
      <c r="C120" s="362"/>
      <c r="O120" s="362"/>
      <c r="W120" s="381"/>
    </row>
    <row r="121" spans="2:23" x14ac:dyDescent="0.2">
      <c r="O121" s="362" t="s">
        <v>478</v>
      </c>
      <c r="P121" s="335">
        <f>SUM(P117:P120)</f>
        <v>1226161.29</v>
      </c>
      <c r="Q121" s="337"/>
      <c r="W121" s="381"/>
    </row>
    <row r="122" spans="2:23" ht="12" x14ac:dyDescent="0.25">
      <c r="B122" s="342"/>
      <c r="C122" s="362"/>
      <c r="D122" s="337">
        <f>P121-1127027</f>
        <v>99134.290000000037</v>
      </c>
      <c r="O122" s="362" t="s">
        <v>479</v>
      </c>
    </row>
    <row r="123" spans="2:23" x14ac:dyDescent="0.2">
      <c r="O123" s="362" t="s">
        <v>480</v>
      </c>
    </row>
  </sheetData>
  <conditionalFormatting sqref="U83:U91 U103:U111 U36:U65 D4:O26 D36:O109 Q36:Q104">
    <cfRule type="cellIs" dxfId="8" priority="8" operator="equal">
      <formula>0</formula>
    </cfRule>
  </conditionalFormatting>
  <conditionalFormatting sqref="U92:U94">
    <cfRule type="cellIs" dxfId="7" priority="7" operator="equal">
      <formula>0</formula>
    </cfRule>
  </conditionalFormatting>
  <conditionalFormatting sqref="P121">
    <cfRule type="cellIs" dxfId="6" priority="5" operator="lessThan">
      <formula>1000000</formula>
    </cfRule>
    <cfRule type="cellIs" dxfId="5" priority="6" operator="greaterThan">
      <formula>1000000</formula>
    </cfRule>
  </conditionalFormatting>
  <conditionalFormatting sqref="S2">
    <cfRule type="cellIs" dxfId="4" priority="3" operator="lessThan">
      <formula>1000000</formula>
    </cfRule>
    <cfRule type="cellIs" dxfId="3" priority="4" operator="greaterThan">
      <formula>1000000</formula>
    </cfRule>
  </conditionalFormatting>
  <conditionalFormatting sqref="V83:V91 V103:V111 V36:V65">
    <cfRule type="cellIs" dxfId="2" priority="2" operator="equal">
      <formula>0</formula>
    </cfRule>
  </conditionalFormatting>
  <conditionalFormatting sqref="V92:V94">
    <cfRule type="cellIs" dxfId="1" priority="1" operator="equal">
      <formula>0</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4"/>
  <sheetViews>
    <sheetView workbookViewId="0">
      <pane ySplit="6" topLeftCell="A25" activePane="bottomLeft" state="frozen"/>
      <selection activeCell="D47" sqref="D47"/>
      <selection pane="bottomLeft" activeCell="D47" sqref="D47"/>
    </sheetView>
  </sheetViews>
  <sheetFormatPr defaultColWidth="8.6640625" defaultRowHeight="11.4" x14ac:dyDescent="0.2"/>
  <cols>
    <col min="1" max="1" width="27.6640625" style="20" customWidth="1"/>
    <col min="2" max="2" width="2.6640625" style="10" hidden="1" customWidth="1"/>
    <col min="3" max="3" width="11.6640625" style="11" customWidth="1"/>
    <col min="4" max="4" width="13.33203125" style="11" bestFit="1" customWidth="1"/>
    <col min="5" max="5" width="15.6640625" style="12" customWidth="1"/>
    <col min="6" max="7" width="13.33203125" style="11" customWidth="1"/>
    <col min="8" max="8" width="12.6640625" style="11" customWidth="1"/>
    <col min="9" max="9" width="6.33203125" style="13" customWidth="1"/>
    <col min="10" max="10" width="20.33203125" style="10" bestFit="1" customWidth="1"/>
    <col min="11" max="11" width="10.5546875" style="10" bestFit="1" customWidth="1"/>
    <col min="12" max="12" width="13.33203125" style="13" bestFit="1" customWidth="1"/>
    <col min="13" max="16384" width="8.6640625" style="10"/>
  </cols>
  <sheetData>
    <row r="1" spans="1:12" s="128" customFormat="1" ht="16.95" customHeight="1" x14ac:dyDescent="0.3">
      <c r="A1" s="566" t="s">
        <v>0</v>
      </c>
      <c r="B1" s="566"/>
      <c r="C1" s="566"/>
      <c r="D1" s="566"/>
      <c r="E1" s="566"/>
      <c r="F1" s="566"/>
      <c r="G1" s="566"/>
      <c r="H1" s="566"/>
      <c r="I1" s="88"/>
      <c r="L1" s="88"/>
    </row>
    <row r="2" spans="1:12" s="128" customFormat="1" ht="16.2" customHeight="1" x14ac:dyDescent="0.3">
      <c r="A2" s="566" t="s">
        <v>249</v>
      </c>
      <c r="B2" s="566"/>
      <c r="C2" s="566"/>
      <c r="D2" s="566"/>
      <c r="E2" s="566"/>
      <c r="F2" s="566"/>
      <c r="G2" s="566"/>
      <c r="H2" s="566"/>
      <c r="I2" s="88"/>
      <c r="L2" s="88"/>
    </row>
    <row r="3" spans="1:12" s="128" customFormat="1" ht="16.95" customHeight="1" x14ac:dyDescent="0.3">
      <c r="A3" s="566" t="s">
        <v>250</v>
      </c>
      <c r="B3" s="566"/>
      <c r="C3" s="566"/>
      <c r="D3" s="566"/>
      <c r="E3" s="566"/>
      <c r="F3" s="566"/>
      <c r="G3" s="566"/>
      <c r="H3" s="566"/>
      <c r="I3" s="88"/>
      <c r="L3" s="88"/>
    </row>
    <row r="5" spans="1:12" ht="12" thickBot="1" x14ac:dyDescent="0.25"/>
    <row r="6" spans="1:12" ht="12.6" thickBot="1" x14ac:dyDescent="0.3">
      <c r="C6" s="319" t="s">
        <v>2</v>
      </c>
      <c r="D6" s="285" t="s">
        <v>3</v>
      </c>
      <c r="E6" s="286" t="s">
        <v>4</v>
      </c>
      <c r="F6" s="285" t="s">
        <v>5</v>
      </c>
      <c r="G6" s="285" t="s">
        <v>6</v>
      </c>
      <c r="H6" s="320" t="s">
        <v>7</v>
      </c>
    </row>
    <row r="7" spans="1:12" x14ac:dyDescent="0.2">
      <c r="A7" s="133" t="s">
        <v>1</v>
      </c>
      <c r="C7" s="294"/>
      <c r="D7" s="294"/>
      <c r="E7" s="313"/>
      <c r="F7" s="294"/>
      <c r="G7" s="294"/>
      <c r="H7" s="294"/>
      <c r="L7" s="13">
        <f>'FC-Final P&amp;L'!P28</f>
        <v>4499479</v>
      </c>
    </row>
    <row r="8" spans="1:12" ht="45.6" x14ac:dyDescent="0.2">
      <c r="A8" s="20" t="s">
        <v>8</v>
      </c>
      <c r="C8" s="314"/>
      <c r="D8" s="314">
        <f>'FC-Final P&amp;L'!W7</f>
        <v>542000</v>
      </c>
      <c r="E8" s="315"/>
      <c r="F8" s="314"/>
      <c r="G8" s="314"/>
      <c r="H8" s="314">
        <f t="shared" ref="H8:H13" si="0">SUM(C8:G8)</f>
        <v>542000</v>
      </c>
      <c r="J8" s="219" t="s">
        <v>352</v>
      </c>
      <c r="L8" s="13">
        <f>-H14</f>
        <v>-4499479</v>
      </c>
    </row>
    <row r="9" spans="1:12" ht="22.8" x14ac:dyDescent="0.2">
      <c r="A9" s="20" t="s">
        <v>9</v>
      </c>
      <c r="C9" s="314"/>
      <c r="D9" s="314">
        <f>'FC-Final P&amp;L'!W12</f>
        <v>500500</v>
      </c>
      <c r="E9" s="315"/>
      <c r="F9" s="314"/>
      <c r="G9" s="314"/>
      <c r="H9" s="314">
        <f t="shared" si="0"/>
        <v>500500</v>
      </c>
      <c r="J9" s="20" t="s">
        <v>353</v>
      </c>
      <c r="L9" s="13">
        <f>SUM(L7:L8)</f>
        <v>0</v>
      </c>
    </row>
    <row r="10" spans="1:12" x14ac:dyDescent="0.2">
      <c r="A10" s="20" t="s">
        <v>5</v>
      </c>
      <c r="C10" s="314"/>
      <c r="D10" s="314"/>
      <c r="E10" s="315"/>
      <c r="F10" s="314">
        <f>'FC-Final P&amp;L'!V20</f>
        <v>1956240</v>
      </c>
      <c r="G10" s="314"/>
      <c r="H10" s="314">
        <f t="shared" si="0"/>
        <v>1956240</v>
      </c>
    </row>
    <row r="11" spans="1:12" x14ac:dyDescent="0.2">
      <c r="A11" s="20" t="s">
        <v>10</v>
      </c>
      <c r="C11" s="314"/>
      <c r="D11" s="314"/>
      <c r="E11" s="315"/>
      <c r="F11" s="314"/>
      <c r="G11" s="314">
        <f>'FC-Final P&amp;L'!V15</f>
        <v>184849</v>
      </c>
      <c r="H11" s="314">
        <f t="shared" si="0"/>
        <v>184849</v>
      </c>
    </row>
    <row r="12" spans="1:12" ht="22.8" x14ac:dyDescent="0.2">
      <c r="A12" s="20" t="s">
        <v>11</v>
      </c>
      <c r="C12" s="314"/>
      <c r="D12" s="314"/>
      <c r="E12" s="315">
        <f>'FC-Final P&amp;L'!V16+'FC-Final P&amp;L'!V21</f>
        <v>1213500</v>
      </c>
      <c r="F12" s="314"/>
      <c r="G12" s="314"/>
      <c r="H12" s="314">
        <f t="shared" si="0"/>
        <v>1213500</v>
      </c>
      <c r="J12" s="20" t="s">
        <v>354</v>
      </c>
    </row>
    <row r="13" spans="1:12" ht="22.8" x14ac:dyDescent="0.2">
      <c r="A13" s="20" t="s">
        <v>12</v>
      </c>
      <c r="C13" s="314"/>
      <c r="D13" s="314">
        <f>'FC-Final P&amp;L'!V26</f>
        <v>33000</v>
      </c>
      <c r="E13" s="315">
        <f>'FC-Final P&amp;L'!V24+'FC-Final P&amp;L'!V27</f>
        <v>61890</v>
      </c>
      <c r="F13" s="314"/>
      <c r="G13" s="314">
        <f>'FC-Final P&amp;L'!V22</f>
        <v>7500</v>
      </c>
      <c r="H13" s="314">
        <f t="shared" si="0"/>
        <v>102390</v>
      </c>
      <c r="J13" s="20" t="s">
        <v>355</v>
      </c>
    </row>
    <row r="14" spans="1:12" ht="12" x14ac:dyDescent="0.25">
      <c r="A14" s="316" t="s">
        <v>13</v>
      </c>
      <c r="B14" s="317"/>
      <c r="C14" s="318">
        <f t="shared" ref="C14:H14" si="1">SUM(C8:C13)</f>
        <v>0</v>
      </c>
      <c r="D14" s="318">
        <f t="shared" si="1"/>
        <v>1075500</v>
      </c>
      <c r="E14" s="318">
        <f t="shared" si="1"/>
        <v>1275390</v>
      </c>
      <c r="F14" s="318">
        <f t="shared" si="1"/>
        <v>1956240</v>
      </c>
      <c r="G14" s="318">
        <f t="shared" si="1"/>
        <v>192349</v>
      </c>
      <c r="H14" s="318">
        <f t="shared" si="1"/>
        <v>4499479</v>
      </c>
      <c r="J14" s="282">
        <f>+H14-'FC-Final P&amp;L'!P28</f>
        <v>0</v>
      </c>
    </row>
    <row r="15" spans="1:12" x14ac:dyDescent="0.2">
      <c r="C15" s="294"/>
      <c r="D15" s="294"/>
      <c r="E15" s="313"/>
      <c r="F15" s="294"/>
      <c r="G15" s="294"/>
      <c r="H15" s="294"/>
    </row>
    <row r="16" spans="1:12" x14ac:dyDescent="0.2">
      <c r="C16" s="294"/>
      <c r="D16" s="294"/>
      <c r="E16" s="313"/>
      <c r="F16" s="294"/>
      <c r="G16" s="294"/>
      <c r="H16" s="294"/>
    </row>
    <row r="17" spans="1:12" x14ac:dyDescent="0.2">
      <c r="C17" s="294"/>
      <c r="D17" s="294"/>
      <c r="E17" s="313"/>
      <c r="F17" s="294"/>
      <c r="G17" s="294"/>
      <c r="H17" s="294"/>
    </row>
    <row r="18" spans="1:12" x14ac:dyDescent="0.2">
      <c r="A18" s="133" t="s">
        <v>14</v>
      </c>
      <c r="C18" s="294"/>
      <c r="D18" s="294"/>
      <c r="E18" s="313"/>
      <c r="F18" s="294"/>
      <c r="G18" s="294"/>
      <c r="H18" s="294"/>
    </row>
    <row r="19" spans="1:12" x14ac:dyDescent="0.2">
      <c r="A19" s="20" t="s">
        <v>15</v>
      </c>
      <c r="B19" s="10">
        <v>1</v>
      </c>
      <c r="C19" s="314"/>
      <c r="D19" s="314"/>
      <c r="E19" s="315"/>
      <c r="F19" s="314"/>
      <c r="G19" s="314">
        <f>'FC-Final P&amp;L'!V44</f>
        <v>1120000</v>
      </c>
      <c r="H19" s="314">
        <f>SUM(C19:G19)</f>
        <v>1120000</v>
      </c>
    </row>
    <row r="20" spans="1:12" x14ac:dyDescent="0.2">
      <c r="A20" s="20" t="s">
        <v>4</v>
      </c>
      <c r="B20" s="10">
        <v>2</v>
      </c>
      <c r="C20" s="314"/>
      <c r="D20" s="314"/>
      <c r="E20" s="315">
        <f>'FC-Final P&amp;L'!V71</f>
        <v>440000</v>
      </c>
      <c r="F20" s="314"/>
      <c r="G20" s="314"/>
      <c r="H20" s="314">
        <f t="shared" ref="H20:H32" si="2">SUM(C20:G20)</f>
        <v>440000</v>
      </c>
      <c r="J20" s="290"/>
      <c r="K20" s="290"/>
    </row>
    <row r="21" spans="1:12" x14ac:dyDescent="0.2">
      <c r="A21" s="20" t="s">
        <v>391</v>
      </c>
      <c r="B21" s="10">
        <v>3</v>
      </c>
      <c r="C21" s="314">
        <f>'Compensation Links'!B15</f>
        <v>146895.53417</v>
      </c>
      <c r="D21" s="314">
        <f>'Compensation Links'!C15</f>
        <v>370391.82499999995</v>
      </c>
      <c r="E21" s="315"/>
      <c r="F21" s="314">
        <f>'Compensation Links'!E15</f>
        <v>881784.42999999993</v>
      </c>
      <c r="G21" s="314">
        <f>'Compensation Links'!F15+'Compensation Links'!$D$15</f>
        <v>515448.5</v>
      </c>
      <c r="H21" s="314">
        <f>SUM(C21:G21)</f>
        <v>1914520.2891699998</v>
      </c>
      <c r="J21" s="291">
        <f>+H21-'FC-Final P&amp;L'!V33-'FC-Final P&amp;L'!V58-'FC-Final P&amp;L'!V76-'FC-Final P&amp;L'!V89-'FC-Final P&amp;L'!V101</f>
        <v>-1.7108300002291799</v>
      </c>
      <c r="K21" s="290" t="s">
        <v>350</v>
      </c>
    </row>
    <row r="22" spans="1:12" ht="22.8" x14ac:dyDescent="0.2">
      <c r="A22" s="20" t="s">
        <v>438</v>
      </c>
      <c r="B22" s="10">
        <v>5</v>
      </c>
      <c r="C22" s="314">
        <f>+'[2]Combined Summary-Proof'!$K$178+'[2]Combined Summary-Proof'!$K$181</f>
        <v>4487</v>
      </c>
      <c r="D22" s="314">
        <f>+'[2]Combined Summary-Proof'!$I$222+'[2]Combined Summary-Proof'!$I$217+'[2]Combined Summary-Proof'!$J$217</f>
        <v>12410</v>
      </c>
      <c r="E22" s="315"/>
      <c r="F22" s="314">
        <f>+'[2]Combined Summary-Proof'!$S$131+'[2]Combined Summary-Proof'!$S$142</f>
        <v>4760</v>
      </c>
      <c r="G22" s="314">
        <f>+'[2]Combined Summary-Proof'!$L$131+'[2]Combined Summary-Proof'!$M$131+'[2]Combined Summary-Proof'!$M$142+'[2]Combined Summary-Proof'!$P$131+'[2]Combined Summary-Proof'!$Q$131+'[2]Combined Summary-Proof'!$P$142</f>
        <v>6718</v>
      </c>
      <c r="H22" s="314">
        <f t="shared" si="2"/>
        <v>28375</v>
      </c>
      <c r="J22" s="323"/>
      <c r="K22" s="324"/>
      <c r="L22" s="90"/>
    </row>
    <row r="23" spans="1:12" x14ac:dyDescent="0.2">
      <c r="A23" s="20" t="s">
        <v>29</v>
      </c>
      <c r="B23" s="10">
        <v>6</v>
      </c>
      <c r="C23" s="314">
        <f>+'[2]Combined Summary-Proof'!$K$176</f>
        <v>200</v>
      </c>
      <c r="D23" s="314">
        <f>+'[2]Combined Summary-Proof'!$I$221+'[2]Combined Summary-Proof'!$I$215+'[2]Combined Summary-Proof'!$I$194</f>
        <v>72458</v>
      </c>
      <c r="E23" s="315"/>
      <c r="F23" s="314">
        <f>+'[2]Combined Summary-Proof'!$S$129+'[2]Combined Summary-Proof'!$S$127</f>
        <v>82000</v>
      </c>
      <c r="G23" s="314" t="e">
        <f>+'[2]Combined Summary-Proof'!$L$129+'[2]Combined Summary-Proof'!$M$129+SUM('[2]Combined Summary-Proof'!$N$129:$R$129)</f>
        <v>#REF!</v>
      </c>
      <c r="H23" s="314" t="e">
        <f t="shared" si="2"/>
        <v>#REF!</v>
      </c>
      <c r="J23" s="325"/>
      <c r="K23" s="326"/>
      <c r="L23" s="90"/>
    </row>
    <row r="24" spans="1:12" x14ac:dyDescent="0.2">
      <c r="A24" s="20" t="s">
        <v>28</v>
      </c>
      <c r="B24" s="10">
        <v>7</v>
      </c>
      <c r="C24" s="314"/>
      <c r="D24" s="314"/>
      <c r="E24" s="315"/>
      <c r="F24" s="314">
        <f>+'Non Capital Program Exp'!B23</f>
        <v>67942.36</v>
      </c>
      <c r="G24" s="314">
        <f>'Non Capital Program Exp'!$C$23+'Non Capital Program Exp'!$D$23</f>
        <v>36638</v>
      </c>
      <c r="H24" s="314">
        <f t="shared" si="2"/>
        <v>104580.36</v>
      </c>
      <c r="J24" s="325"/>
      <c r="K24" s="326"/>
      <c r="L24" s="90"/>
    </row>
    <row r="25" spans="1:12" x14ac:dyDescent="0.2">
      <c r="A25" s="20" t="s">
        <v>18</v>
      </c>
      <c r="B25" s="10">
        <v>8</v>
      </c>
      <c r="C25" s="314">
        <f>+'[2]Combined Summary-Proof'!$K$151+'[2]Combined Summary-Proof'!$K$156</f>
        <v>10342</v>
      </c>
      <c r="D25" s="314">
        <f>+'[2]Combined Summary-Proof'!$I$185+'[2]Combined Summary-Proof'!$I$192</f>
        <v>10342</v>
      </c>
      <c r="E25" s="315"/>
      <c r="F25" s="314">
        <f>+'[2]Combined Summary-Proof'!$S$56+'[2]Combined Summary-Proof'!$S$66+'[2]Combined Summary-Proof'!$S$88+'[2]Combined Summary-Proof'!$S$116</f>
        <v>66417.574999999997</v>
      </c>
      <c r="G25" s="314">
        <f>+'[2]Combined Summary-Proof'!$L$66+'[2]Combined Summary-Proof'!$M$66+'[2]Combined Summary-Proof'!$L$88+'[2]Combined Summary-Proof'!$M$88+'[2]Combined Summary-Proof'!$L$116+'[2]Combined Summary-Proof'!$P$66+'[2]Combined Summary-Proof'!$P$88</f>
        <v>34904.506670000002</v>
      </c>
      <c r="H25" s="314">
        <f t="shared" si="2"/>
        <v>122006.08167</v>
      </c>
      <c r="J25" s="325"/>
      <c r="K25" s="326"/>
      <c r="L25" s="90"/>
    </row>
    <row r="26" spans="1:12" x14ac:dyDescent="0.2">
      <c r="A26" s="20" t="s">
        <v>19</v>
      </c>
      <c r="B26" s="10">
        <v>9</v>
      </c>
      <c r="C26" s="314"/>
      <c r="D26" s="314"/>
      <c r="E26" s="315"/>
      <c r="F26" s="314">
        <f>'FC-Final P&amp;L'!V62</f>
        <v>33020</v>
      </c>
      <c r="G26" s="314"/>
      <c r="H26" s="314">
        <f t="shared" si="2"/>
        <v>33020</v>
      </c>
      <c r="J26" s="325"/>
      <c r="K26" s="326"/>
      <c r="L26" s="90"/>
    </row>
    <row r="27" spans="1:12" ht="22.8" x14ac:dyDescent="0.2">
      <c r="A27" s="20" t="s">
        <v>435</v>
      </c>
      <c r="B27" s="10">
        <v>10</v>
      </c>
      <c r="C27" s="314">
        <f>+'Occ-Sup-Post-Etc'!B43+7.68</f>
        <v>26260.68</v>
      </c>
      <c r="D27" s="314">
        <f>+'Occ-Sup-Post-Etc'!C43</f>
        <v>44427.33</v>
      </c>
      <c r="E27" s="315"/>
      <c r="F27" s="314">
        <f>+'Occ-Sup-Post-Etc'!E43</f>
        <v>121421</v>
      </c>
      <c r="G27" s="314">
        <f>+'Occ-Sup-Post-Etc'!F43+'Occ-Sup-Post-Etc'!$D$43</f>
        <v>44909.8</v>
      </c>
      <c r="H27" s="314">
        <f t="shared" si="2"/>
        <v>237018.81</v>
      </c>
      <c r="J27" s="325"/>
      <c r="K27" s="326"/>
      <c r="L27" s="90"/>
    </row>
    <row r="28" spans="1:12" ht="22.8" x14ac:dyDescent="0.2">
      <c r="A28" s="20" t="s">
        <v>437</v>
      </c>
      <c r="B28" s="10">
        <v>11</v>
      </c>
      <c r="C28" s="314">
        <f>'[2]Combined Summary-Proof'!$K$159</f>
        <v>13165.5</v>
      </c>
      <c r="D28" s="314">
        <f>+'[2]Combined Summary-Proof'!$I$195+'[2]Combined Summary-Proof'!$J$195</f>
        <v>4395.5</v>
      </c>
      <c r="E28" s="315"/>
      <c r="F28" s="314">
        <f>+'[2]Combined Summary-Proof'!$S$95</f>
        <v>0</v>
      </c>
      <c r="G28" s="314">
        <f>+'[2]Combined Summary-Proof'!$L$95+'[2]Combined Summary-Proof'!$M$95+'[2]Combined Summary-Proof'!$L$74+'[2]Combined Summary-Proof'!$P$74+'[2]Combined Summary-Proof'!$P$95+'[2]Combined Summary-Proof'!$Q$95</f>
        <v>7130.5</v>
      </c>
      <c r="H28" s="314">
        <f t="shared" si="2"/>
        <v>24691.5</v>
      </c>
      <c r="J28" s="325"/>
      <c r="K28" s="326"/>
      <c r="L28" s="90"/>
    </row>
    <row r="29" spans="1:12" ht="22.8" x14ac:dyDescent="0.2">
      <c r="A29" s="20" t="s">
        <v>436</v>
      </c>
      <c r="B29" s="10">
        <v>12</v>
      </c>
      <c r="C29" s="314">
        <v>0</v>
      </c>
      <c r="D29" s="314">
        <f>+'[2]Combined Summary-Proof'!$I$219</f>
        <v>0</v>
      </c>
      <c r="E29" s="315"/>
      <c r="F29" s="314">
        <f>SUM('[2]Combined Summary-Proof'!$S$134:$S$139)</f>
        <v>59734.32</v>
      </c>
      <c r="G29" s="314">
        <f>SUM('[2]Combined Summary-Proof'!$L$135:$L$139)+'[2]Combined Summary-Proof'!$N$135</f>
        <v>14999.64</v>
      </c>
      <c r="H29" s="314">
        <f t="shared" si="2"/>
        <v>74733.959999999992</v>
      </c>
      <c r="J29" s="325"/>
      <c r="K29" s="326"/>
      <c r="L29" s="90"/>
    </row>
    <row r="30" spans="1:12" ht="22.8" x14ac:dyDescent="0.2">
      <c r="A30" s="20" t="s">
        <v>23</v>
      </c>
      <c r="B30" s="10">
        <v>13</v>
      </c>
      <c r="C30" s="314">
        <f>+'[2]Combined Summary-Proof'!$K$158+'[2]Combined Summary-Proof'!$K$160+'[2]Combined Summary-Proof'!$K$163-2650</f>
        <v>15667</v>
      </c>
      <c r="D30" s="314">
        <f>+'[2]Combined Summary-Proof'!$I$200</f>
        <v>807</v>
      </c>
      <c r="E30" s="315"/>
      <c r="F30" s="314">
        <v>2650</v>
      </c>
      <c r="G30" s="314">
        <f>+'[2]Combined Summary-Proof'!$L$99+'[2]Combined Summary-Proof'!$M$99+'[2]Combined Summary-Proof'!$O$94+'[2]Combined Summary-Proof'!$P$99</f>
        <v>3851</v>
      </c>
      <c r="H30" s="314">
        <f t="shared" si="2"/>
        <v>22975</v>
      </c>
      <c r="J30" s="325"/>
      <c r="K30" s="326"/>
      <c r="L30" s="90"/>
    </row>
    <row r="31" spans="1:12" x14ac:dyDescent="0.2">
      <c r="A31" s="20" t="s">
        <v>25</v>
      </c>
      <c r="B31" s="10">
        <v>15</v>
      </c>
      <c r="C31" s="314"/>
      <c r="D31" s="314"/>
      <c r="E31" s="315"/>
      <c r="F31" s="314">
        <f>'FC-Final P&amp;L'!V39+'FC-Final P&amp;L'!V42+'FC-Final P&amp;L'!V45</f>
        <v>108240</v>
      </c>
      <c r="G31" s="314"/>
      <c r="H31" s="314">
        <f t="shared" si="2"/>
        <v>108240</v>
      </c>
      <c r="J31" s="323"/>
      <c r="K31" s="324"/>
      <c r="L31" s="90"/>
    </row>
    <row r="32" spans="1:12" x14ac:dyDescent="0.2">
      <c r="A32" s="20" t="s">
        <v>21</v>
      </c>
      <c r="B32" s="10">
        <v>14</v>
      </c>
      <c r="C32" s="314"/>
      <c r="D32" s="314"/>
      <c r="E32" s="315"/>
      <c r="F32" s="314"/>
      <c r="G32" s="314">
        <f>'FC-Final P&amp;L'!V63</f>
        <v>70000</v>
      </c>
      <c r="H32" s="314">
        <f t="shared" si="2"/>
        <v>70000</v>
      </c>
      <c r="J32" s="323"/>
      <c r="K32" s="324"/>
      <c r="L32" s="90"/>
    </row>
    <row r="33" spans="1:12" ht="12" x14ac:dyDescent="0.25">
      <c r="A33" s="316" t="s">
        <v>22</v>
      </c>
      <c r="B33" s="317"/>
      <c r="C33" s="318">
        <f t="shared" ref="C33:H33" si="3">SUM(C19:C32)</f>
        <v>217017.71416999999</v>
      </c>
      <c r="D33" s="318">
        <f t="shared" si="3"/>
        <v>515231.65499999997</v>
      </c>
      <c r="E33" s="318">
        <f t="shared" si="3"/>
        <v>440000</v>
      </c>
      <c r="F33" s="318">
        <f t="shared" si="3"/>
        <v>1427969.6850000001</v>
      </c>
      <c r="G33" s="318" t="e">
        <f t="shared" si="3"/>
        <v>#REF!</v>
      </c>
      <c r="H33" s="318" t="e">
        <f t="shared" si="3"/>
        <v>#REF!</v>
      </c>
      <c r="J33" s="327"/>
      <c r="K33" s="324"/>
      <c r="L33" s="90"/>
    </row>
    <row r="34" spans="1:12" x14ac:dyDescent="0.2">
      <c r="C34" s="294"/>
      <c r="D34" s="294"/>
      <c r="E34" s="313"/>
      <c r="F34" s="294"/>
      <c r="G34" s="294"/>
      <c r="H34" s="294"/>
      <c r="J34" s="324"/>
      <c r="K34" s="324"/>
      <c r="L34" s="90"/>
    </row>
    <row r="35" spans="1:12" ht="12.6" thickBot="1" x14ac:dyDescent="0.3">
      <c r="A35" s="316" t="s">
        <v>26</v>
      </c>
      <c r="B35" s="317"/>
      <c r="C35" s="321">
        <f t="shared" ref="C35:H35" si="4">C14-C33</f>
        <v>-217017.71416999999</v>
      </c>
      <c r="D35" s="321">
        <f t="shared" si="4"/>
        <v>560268.34499999997</v>
      </c>
      <c r="E35" s="321">
        <f t="shared" si="4"/>
        <v>835390</v>
      </c>
      <c r="F35" s="321">
        <f t="shared" si="4"/>
        <v>528270.31499999994</v>
      </c>
      <c r="G35" s="321" t="e">
        <f t="shared" si="4"/>
        <v>#REF!</v>
      </c>
      <c r="H35" s="321" t="e">
        <f t="shared" si="4"/>
        <v>#REF!</v>
      </c>
      <c r="J35" s="290"/>
      <c r="K35" s="290"/>
    </row>
    <row r="36" spans="1:12" ht="12" thickTop="1" x14ac:dyDescent="0.2"/>
    <row r="39" spans="1:12" x14ac:dyDescent="0.2">
      <c r="C39" s="134" t="e">
        <f>C33/H33</f>
        <v>#REF!</v>
      </c>
      <c r="D39" s="134" t="e">
        <f>D33/H33</f>
        <v>#REF!</v>
      </c>
      <c r="E39" s="135" t="e">
        <f>(E33+F33+G33)/H33</f>
        <v>#REF!</v>
      </c>
      <c r="F39" s="134" t="e">
        <f>SUM(C39:E39)</f>
        <v>#REF!</v>
      </c>
      <c r="H39" s="276" t="e">
        <f>+H35-'FC-Final P&amp;L'!P109</f>
        <v>#REF!</v>
      </c>
    </row>
    <row r="40" spans="1:12" x14ac:dyDescent="0.2">
      <c r="C40" s="11" t="s">
        <v>36</v>
      </c>
      <c r="D40" s="11" t="s">
        <v>37</v>
      </c>
      <c r="E40" s="12" t="s">
        <v>38</v>
      </c>
      <c r="H40" s="11" t="s">
        <v>255</v>
      </c>
    </row>
    <row r="44" spans="1:12" x14ac:dyDescent="0.2">
      <c r="C44" s="136"/>
    </row>
  </sheetData>
  <mergeCells count="3">
    <mergeCell ref="A1:H1"/>
    <mergeCell ref="A2:H2"/>
    <mergeCell ref="A3:H3"/>
  </mergeCells>
  <pageMargins left="0.2" right="0.2" top="0.75" bottom="0.75" header="0.3" footer="0.3"/>
  <pageSetup scale="95" orientation="portrait" r:id="rId1"/>
  <headerFooter>
    <oddFooter>&amp;L&amp;8&amp;Z&amp;F</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I20"/>
  <sheetViews>
    <sheetView workbookViewId="0">
      <selection activeCell="D2" sqref="D2"/>
    </sheetView>
  </sheetViews>
  <sheetFormatPr defaultColWidth="10.6640625" defaultRowHeight="14.4" x14ac:dyDescent="0.3"/>
  <cols>
    <col min="1" max="1" width="28.33203125" bestFit="1" customWidth="1"/>
    <col min="2" max="2" width="15.5546875" customWidth="1"/>
    <col min="3" max="3" width="14.6640625" customWidth="1"/>
    <col min="4" max="4" width="16" customWidth="1"/>
    <col min="5" max="6" width="11.5546875" bestFit="1" customWidth="1"/>
    <col min="7" max="7" width="13.33203125" bestFit="1" customWidth="1"/>
    <col min="8" max="8" width="11.33203125" bestFit="1" customWidth="1"/>
    <col min="9" max="9" width="13.33203125" bestFit="1" customWidth="1"/>
  </cols>
  <sheetData>
    <row r="1" spans="1:8" ht="15" thickBot="1" x14ac:dyDescent="0.35">
      <c r="B1" s="129" t="s">
        <v>2</v>
      </c>
      <c r="C1" s="130" t="s">
        <v>3</v>
      </c>
      <c r="D1" s="131" t="s">
        <v>439</v>
      </c>
      <c r="E1" s="130" t="s">
        <v>5</v>
      </c>
      <c r="F1" s="130" t="s">
        <v>6</v>
      </c>
      <c r="G1" s="132" t="s">
        <v>7</v>
      </c>
    </row>
    <row r="2" spans="1:8" x14ac:dyDescent="0.3">
      <c r="A2" s="277" t="s">
        <v>384</v>
      </c>
      <c r="B2" s="36">
        <f>'[2]Combined Summary-Proof'!$K$91</f>
        <v>10976.34</v>
      </c>
      <c r="C2" s="36">
        <f>'[2]Combined Summary-Proof'!$I$91</f>
        <v>22883.23</v>
      </c>
      <c r="D2" s="36">
        <f>'[2]Combined Summary-Proof'!$P$91</f>
        <v>12362.26</v>
      </c>
      <c r="E2" s="36">
        <f>'[2]Combined Summary-Proof'!$S$91</f>
        <v>61531.199999999997</v>
      </c>
      <c r="F2" s="36">
        <f>+'[2]Combined Summary-Proof'!$L$91+'[2]Combined Summary-Proof'!$M$91</f>
        <v>20624.849999999999</v>
      </c>
      <c r="G2" s="36">
        <f>SUM(B2:F2)</f>
        <v>128377.88</v>
      </c>
      <c r="H2" s="127">
        <f>+G2-'[2]Combined Summary-Proof'!$T$91</f>
        <v>0</v>
      </c>
    </row>
    <row r="3" spans="1:8" x14ac:dyDescent="0.3">
      <c r="A3" s="277" t="s">
        <v>381</v>
      </c>
      <c r="B3" s="36"/>
      <c r="C3" s="36"/>
      <c r="D3" s="36">
        <f>'[2]Combined Summary-Proof'!P85</f>
        <v>151747.48000000001</v>
      </c>
      <c r="E3" s="36">
        <f>'[2]Combined Summary-Proof'!S85</f>
        <v>732949.76</v>
      </c>
      <c r="F3" s="36">
        <f>+'[2]Combined Summary-Proof'!$L$85+'[2]Combined Summary-Proof'!$M$85</f>
        <v>253693.25</v>
      </c>
      <c r="G3" s="36">
        <f>SUM(B3:F3)</f>
        <v>1138390.49</v>
      </c>
      <c r="H3" s="127">
        <f>+G3-'[2]Combined Summary-Proof'!$T$85</f>
        <v>0</v>
      </c>
    </row>
    <row r="4" spans="1:8" x14ac:dyDescent="0.3">
      <c r="A4" s="277" t="s">
        <v>385</v>
      </c>
      <c r="B4" s="36">
        <f>'[2]Combined Summary-Proof'!K153</f>
        <v>135146.37</v>
      </c>
      <c r="C4" s="36"/>
      <c r="D4" s="36"/>
      <c r="E4" s="36"/>
      <c r="F4" s="36"/>
      <c r="G4" s="36">
        <f>SUM(B4:F4)</f>
        <v>135146.37</v>
      </c>
      <c r="H4" s="127">
        <f>+G4-'[2]Combined Summary-Proof'!$T$153</f>
        <v>0</v>
      </c>
    </row>
    <row r="5" spans="1:8" x14ac:dyDescent="0.3">
      <c r="A5" s="277" t="s">
        <v>388</v>
      </c>
      <c r="C5" s="36">
        <f>'[2]Combined Summary-Proof'!I187</f>
        <v>283366.09999999998</v>
      </c>
      <c r="D5" s="36"/>
      <c r="E5" s="36"/>
      <c r="F5" s="36"/>
      <c r="G5" s="36">
        <f>SUM(C5:F5)</f>
        <v>283366.09999999998</v>
      </c>
      <c r="H5" s="127">
        <f>+G5-'[2]Combined Summary-Proof'!$T$187</f>
        <v>0</v>
      </c>
    </row>
    <row r="6" spans="1:8" x14ac:dyDescent="0.3">
      <c r="A6" s="277" t="s">
        <v>382</v>
      </c>
      <c r="B6" s="36"/>
      <c r="C6" s="36"/>
      <c r="D6" s="36">
        <f>'[2]Combined Summary-Proof'!P86</f>
        <v>5819.51</v>
      </c>
      <c r="E6" s="36">
        <f>'[2]Combined Summary-Proof'!S86</f>
        <v>7892.39</v>
      </c>
      <c r="F6" s="36">
        <f>+'[2]Combined Summary-Proof'!$L$86+'[2]Combined Summary-Proof'!$M$86</f>
        <v>9897.3499999999985</v>
      </c>
      <c r="G6" s="36">
        <f>SUM(B6:F6)</f>
        <v>23609.25</v>
      </c>
      <c r="H6" s="127">
        <f>+G6-'[2]Combined Summary-Proof'!$T$86</f>
        <v>0</v>
      </c>
    </row>
    <row r="7" spans="1:8" x14ac:dyDescent="0.3">
      <c r="A7" s="277" t="s">
        <v>386</v>
      </c>
      <c r="B7" s="36">
        <f>'[2]Combined Summary-Proof'!K154</f>
        <v>-13897.02583</v>
      </c>
      <c r="C7" s="36"/>
      <c r="D7" s="36"/>
      <c r="E7" s="36"/>
      <c r="F7" s="36"/>
      <c r="G7" s="36">
        <f>SUM(B7:F7)</f>
        <v>-13897.02583</v>
      </c>
      <c r="H7" s="127">
        <f>+G7-'[2]Combined Summary-Proof'!$T$154</f>
        <v>0</v>
      </c>
    </row>
    <row r="8" spans="1:8" x14ac:dyDescent="0.3">
      <c r="A8" s="277" t="s">
        <v>389</v>
      </c>
      <c r="C8" s="36">
        <f>'[2]Combined Summary-Proof'!I188</f>
        <v>11209.145</v>
      </c>
      <c r="D8" s="36"/>
      <c r="E8" s="36"/>
      <c r="F8" s="36"/>
      <c r="G8" s="36">
        <f>SUM(C8:F8)</f>
        <v>11209.145</v>
      </c>
      <c r="H8" s="127">
        <f>+G8-'[2]Combined Summary-Proof'!$T$188</f>
        <v>0</v>
      </c>
    </row>
    <row r="9" spans="1:8" x14ac:dyDescent="0.3">
      <c r="A9" s="277" t="s">
        <v>383</v>
      </c>
      <c r="B9" s="36"/>
      <c r="C9" s="36"/>
      <c r="D9" s="36">
        <f>'[2]Combined Summary-Proof'!P87</f>
        <v>24590.26</v>
      </c>
      <c r="E9" s="36">
        <f>'[2]Combined Summary-Proof'!S87</f>
        <v>79411.08</v>
      </c>
      <c r="F9" s="36">
        <f>+'[2]Combined Summary-Proof'!$L$87</f>
        <v>26713.54</v>
      </c>
      <c r="G9" s="36">
        <f>SUM(B9:F9)</f>
        <v>130714.88</v>
      </c>
      <c r="H9" s="127">
        <f>+G9-'[2]Combined Summary-Proof'!$T87</f>
        <v>0</v>
      </c>
    </row>
    <row r="10" spans="1:8" x14ac:dyDescent="0.3">
      <c r="A10" s="277" t="s">
        <v>387</v>
      </c>
      <c r="B10" s="36">
        <f>'[2]Combined Summary-Proof'!K155</f>
        <v>14669.85</v>
      </c>
      <c r="C10" s="36"/>
      <c r="D10" s="36"/>
      <c r="E10" s="36"/>
      <c r="F10" s="36"/>
      <c r="G10" s="36">
        <f>SUM(B10:F10)</f>
        <v>14669.85</v>
      </c>
      <c r="H10" s="127">
        <f>+G10-'[2]Combined Summary-Proof'!$T$155</f>
        <v>0</v>
      </c>
    </row>
    <row r="11" spans="1:8" x14ac:dyDescent="0.3">
      <c r="A11" s="277" t="s">
        <v>390</v>
      </c>
      <c r="C11" s="36">
        <f>'[2]Combined Summary-Proof'!I189</f>
        <v>34533.35</v>
      </c>
      <c r="D11" s="36"/>
      <c r="E11" s="36"/>
      <c r="F11" s="36"/>
      <c r="G11" s="36">
        <f>SUM(C11:F11)</f>
        <v>34533.35</v>
      </c>
      <c r="H11" s="127">
        <f>+G11-'[2]Combined Summary-Proof'!$T$189</f>
        <v>0</v>
      </c>
    </row>
    <row r="12" spans="1:8" x14ac:dyDescent="0.3">
      <c r="A12" s="277" t="s">
        <v>393</v>
      </c>
      <c r="B12" s="36"/>
      <c r="C12" s="36">
        <f>'[2]Combined Summary-Proof'!I190</f>
        <v>8400</v>
      </c>
      <c r="D12" s="36"/>
      <c r="E12" s="36"/>
      <c r="F12" s="36"/>
      <c r="G12" s="36">
        <f>SUM(C12:F12)</f>
        <v>8400</v>
      </c>
    </row>
    <row r="13" spans="1:8" x14ac:dyDescent="0.3">
      <c r="A13" s="277" t="s">
        <v>394</v>
      </c>
      <c r="B13" s="36"/>
      <c r="C13" s="36"/>
      <c r="D13" s="36"/>
      <c r="E13" s="36"/>
      <c r="F13" s="36">
        <f>'[2]Combined Summary-Proof'!$M$90</f>
        <v>10000</v>
      </c>
      <c r="G13" s="36">
        <f>SUM(B13:F13)</f>
        <v>10000</v>
      </c>
      <c r="H13" s="127">
        <f>+G13-'[2]Combined Summary-Proof'!$T$90</f>
        <v>0</v>
      </c>
    </row>
    <row r="14" spans="1:8" x14ac:dyDescent="0.3">
      <c r="A14" s="277" t="s">
        <v>392</v>
      </c>
      <c r="B14" s="36"/>
      <c r="C14" s="36">
        <f>'[2]Combined Summary-Proof'!I191</f>
        <v>10000</v>
      </c>
      <c r="D14" s="36"/>
      <c r="E14" s="36"/>
      <c r="F14" s="36"/>
      <c r="G14" s="36">
        <f>SUM(C14:F14)</f>
        <v>10000</v>
      </c>
    </row>
    <row r="15" spans="1:8" x14ac:dyDescent="0.3">
      <c r="B15" s="283">
        <f t="shared" ref="B15:G15" si="0">SUM(B2:B14)</f>
        <v>146895.53417</v>
      </c>
      <c r="C15" s="283">
        <f t="shared" si="0"/>
        <v>370391.82499999995</v>
      </c>
      <c r="D15" s="283">
        <f t="shared" si="0"/>
        <v>194519.51000000004</v>
      </c>
      <c r="E15" s="283">
        <f t="shared" si="0"/>
        <v>881784.42999999993</v>
      </c>
      <c r="F15" s="283">
        <f t="shared" si="0"/>
        <v>320928.98999999993</v>
      </c>
      <c r="G15" s="283">
        <f t="shared" si="0"/>
        <v>1914520.2891700007</v>
      </c>
    </row>
    <row r="16" spans="1:8" x14ac:dyDescent="0.3">
      <c r="B16" s="36"/>
      <c r="C16" s="36"/>
      <c r="D16" s="36"/>
      <c r="E16" s="36"/>
      <c r="F16" s="36"/>
      <c r="G16" s="36"/>
    </row>
    <row r="17" spans="2:9" x14ac:dyDescent="0.3">
      <c r="B17" s="36"/>
      <c r="C17" s="36"/>
      <c r="D17" s="36"/>
      <c r="E17" s="36"/>
      <c r="F17" s="36"/>
      <c r="G17" s="36"/>
    </row>
    <row r="18" spans="2:9" x14ac:dyDescent="0.3">
      <c r="B18" s="36"/>
      <c r="C18" s="36"/>
      <c r="D18" s="36"/>
      <c r="E18" s="36"/>
      <c r="F18" s="36"/>
      <c r="G18" s="36"/>
    </row>
    <row r="19" spans="2:9" x14ac:dyDescent="0.3">
      <c r="B19" s="36"/>
      <c r="C19" s="36"/>
      <c r="D19" s="36"/>
      <c r="E19" s="36"/>
      <c r="F19" s="36"/>
      <c r="G19" s="36"/>
    </row>
    <row r="20" spans="2:9" x14ac:dyDescent="0.3">
      <c r="I20" s="1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P&amp;L (accounting)</vt:lpstr>
      <vt:lpstr>P&amp;L detail accounting</vt:lpstr>
      <vt:lpstr>Summary FY21</vt:lpstr>
      <vt:lpstr>P&amp;L FY21-BOD Approved 06.2020</vt:lpstr>
      <vt:lpstr>P&amp;L Budget</vt:lpstr>
      <vt:lpstr> Cash FY21-BOD Approved 06.2020</vt:lpstr>
      <vt:lpstr>cash budget</vt:lpstr>
      <vt:lpstr>P&amp;L FY20</vt:lpstr>
      <vt:lpstr>Compensation Links</vt:lpstr>
      <vt:lpstr>Occ-Sup-Post-Etc</vt:lpstr>
      <vt:lpstr>Non Capital Program Exp</vt:lpstr>
      <vt:lpstr>FC-Final P&amp;L</vt:lpstr>
      <vt:lpstr>Cash FY20</vt:lpstr>
      <vt:lpstr>FC-Final Cash</vt:lpstr>
      <vt:lpstr>cash detail accounting</vt:lpstr>
      <vt:lpstr>'P&amp;L detail accounting'!Print_Area</vt:lpstr>
      <vt:lpstr>'P&amp;L FY20'!Print_Area</vt:lpstr>
      <vt:lpstr>'P&amp;L FY21-BOD Approved 06.2020'!Print_Area</vt:lpstr>
      <vt:lpstr>'Summary FY21'!Print_Area</vt:lpstr>
      <vt:lpstr>' Cash FY21-BOD Approved 06.2020'!Print_Titles</vt:lpstr>
      <vt:lpstr>'P&amp;L detail accounting'!Print_Titles</vt:lpstr>
      <vt:lpstr>'P&amp;L FY21-BOD Approved 06.2020'!Print_Titles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Campbell</dc:creator>
  <cp:lastModifiedBy>Stephanie Campbell</cp:lastModifiedBy>
  <cp:lastPrinted>2020-12-17T16:44:05Z</cp:lastPrinted>
  <dcterms:created xsi:type="dcterms:W3CDTF">2017-05-30T21:09:20Z</dcterms:created>
  <dcterms:modified xsi:type="dcterms:W3CDTF">2020-12-17T16:44:28Z</dcterms:modified>
</cp:coreProperties>
</file>